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700" yWindow="-45" windowWidth="20250" windowHeight="12165"/>
  </bookViews>
  <sheets>
    <sheet name="Plan" sheetId="1" r:id="rId1"/>
    <sheet name="base" sheetId="2" state="hidden" r:id="rId2"/>
    <sheet name="mode d'emploi" sheetId="3" r:id="rId3"/>
  </sheets>
  <calcPr calcId="162913"/>
</workbook>
</file>

<file path=xl/calcChain.xml><?xml version="1.0" encoding="utf-8"?>
<calcChain xmlns="http://schemas.openxmlformats.org/spreadsheetml/2006/main">
  <c r="B33" i="1" l="1"/>
  <c r="F33" i="1"/>
  <c r="Z33" i="1"/>
  <c r="AA33" i="1"/>
  <c r="B34" i="1"/>
  <c r="F34" i="1"/>
  <c r="Z34" i="1"/>
  <c r="B35" i="1"/>
  <c r="F35" i="1"/>
  <c r="Z35" i="1"/>
  <c r="B36" i="1"/>
  <c r="F36" i="1"/>
  <c r="Z36" i="1"/>
  <c r="AA36" i="1"/>
  <c r="B37" i="1"/>
  <c r="F37" i="1"/>
  <c r="Z37" i="1"/>
  <c r="AA37" i="1"/>
  <c r="B38" i="1"/>
  <c r="F38" i="1"/>
  <c r="Z38" i="1"/>
  <c r="AA38" i="1"/>
  <c r="B39" i="1"/>
  <c r="F39" i="1"/>
  <c r="Z39" i="1"/>
  <c r="AA39" i="1"/>
  <c r="B40" i="1"/>
  <c r="F40" i="1"/>
  <c r="Z40" i="1"/>
  <c r="B41" i="1"/>
  <c r="F41" i="1"/>
  <c r="Z41" i="1"/>
  <c r="AA41" i="1"/>
  <c r="B42" i="1"/>
  <c r="F42" i="1"/>
  <c r="Z42" i="1"/>
  <c r="AA42" i="1"/>
  <c r="B43" i="1"/>
  <c r="F43" i="1"/>
  <c r="Z43" i="1"/>
  <c r="AA43" i="1"/>
  <c r="B44" i="1"/>
  <c r="F44" i="1"/>
  <c r="Z44" i="1"/>
  <c r="B45" i="1"/>
  <c r="F45" i="1"/>
  <c r="Z45" i="1"/>
  <c r="B46" i="1"/>
  <c r="F46" i="1"/>
  <c r="Z46" i="1"/>
  <c r="AA46" i="1"/>
  <c r="B47" i="1"/>
  <c r="F47" i="1"/>
  <c r="Z47" i="1"/>
  <c r="AA47" i="1"/>
  <c r="B48" i="1"/>
  <c r="F48" i="1"/>
  <c r="Z48" i="1"/>
  <c r="B49" i="1"/>
  <c r="F49" i="1"/>
  <c r="Z49" i="1"/>
  <c r="B50" i="1"/>
  <c r="F50" i="1"/>
  <c r="Z50" i="1"/>
  <c r="B51" i="1"/>
  <c r="F51" i="1"/>
  <c r="Z51" i="1"/>
  <c r="AA51" i="1"/>
  <c r="B52" i="1"/>
  <c r="F52" i="1"/>
  <c r="Z52" i="1"/>
  <c r="AA52" i="1"/>
  <c r="B53" i="1"/>
  <c r="F53" i="1"/>
  <c r="Z53" i="1"/>
  <c r="AA53" i="1"/>
  <c r="B54" i="1"/>
  <c r="F54" i="1"/>
  <c r="Z54" i="1"/>
  <c r="AA54" i="1"/>
  <c r="B55" i="1"/>
  <c r="F55" i="1"/>
  <c r="Z55" i="1"/>
  <c r="B56" i="1"/>
  <c r="F56" i="1"/>
  <c r="Z56" i="1"/>
  <c r="AA56" i="1"/>
  <c r="B57" i="1"/>
  <c r="F57" i="1"/>
  <c r="Z57" i="1"/>
  <c r="AA57" i="1"/>
  <c r="B58" i="1"/>
  <c r="F58" i="1"/>
  <c r="Z58" i="1"/>
  <c r="B59" i="1"/>
  <c r="F59" i="1"/>
  <c r="Z59" i="1"/>
  <c r="AA59" i="1"/>
  <c r="B60" i="1"/>
  <c r="F60" i="1"/>
  <c r="Z60" i="1"/>
  <c r="AA60" i="1"/>
  <c r="B61" i="1"/>
  <c r="F61" i="1"/>
  <c r="Z61" i="1"/>
  <c r="AA61" i="1"/>
  <c r="B62" i="1"/>
  <c r="F62" i="1"/>
  <c r="Z62" i="1"/>
  <c r="B63" i="1"/>
  <c r="F63" i="1"/>
  <c r="Z63" i="1"/>
  <c r="AA63" i="1"/>
  <c r="B64" i="1"/>
  <c r="F64" i="1"/>
  <c r="Z64" i="1"/>
  <c r="AA64" i="1"/>
  <c r="B65" i="1"/>
  <c r="F65" i="1"/>
  <c r="Z65" i="1"/>
  <c r="AA65" i="1"/>
  <c r="B66" i="1"/>
  <c r="F66" i="1"/>
  <c r="Z66" i="1"/>
  <c r="B67" i="1"/>
  <c r="F67" i="1"/>
  <c r="Z67" i="1"/>
  <c r="AA67" i="1"/>
  <c r="B68" i="1"/>
  <c r="F68" i="1"/>
  <c r="Z68" i="1"/>
  <c r="B69" i="1"/>
  <c r="F69" i="1"/>
  <c r="Z69" i="1"/>
  <c r="B70" i="1"/>
  <c r="F70" i="1"/>
  <c r="Z70" i="1"/>
  <c r="AA70" i="1"/>
  <c r="B71" i="1"/>
  <c r="F71" i="1"/>
  <c r="Z71" i="1"/>
  <c r="AA71" i="1"/>
  <c r="B72" i="1"/>
  <c r="F72" i="1"/>
  <c r="Z72" i="1"/>
  <c r="B73" i="1"/>
  <c r="F73" i="1"/>
  <c r="Z73" i="1"/>
  <c r="B74" i="1"/>
  <c r="F74" i="1"/>
  <c r="Z74" i="1"/>
  <c r="AA74" i="1"/>
  <c r="B75" i="1"/>
  <c r="F75" i="1"/>
  <c r="Z75" i="1"/>
  <c r="AA75" i="1"/>
  <c r="B76" i="1"/>
  <c r="F76" i="1"/>
  <c r="Z76" i="1"/>
  <c r="AA76" i="1"/>
  <c r="B10" i="1"/>
  <c r="B11" i="1"/>
  <c r="B12" i="1"/>
  <c r="B13" i="1"/>
  <c r="B14" i="1"/>
  <c r="B15" i="1"/>
  <c r="B16" i="1"/>
  <c r="B17" i="1"/>
  <c r="B18" i="1"/>
  <c r="B19" i="1"/>
  <c r="B20" i="1"/>
  <c r="B21" i="1"/>
  <c r="B22" i="1"/>
  <c r="B23" i="1"/>
  <c r="B24" i="1"/>
  <c r="B25" i="1"/>
  <c r="B26" i="1"/>
  <c r="B27" i="1"/>
  <c r="B28" i="1"/>
  <c r="B29" i="1"/>
  <c r="B30" i="1"/>
  <c r="B31" i="1"/>
  <c r="B32" i="1"/>
  <c r="D71"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P12" i="1"/>
  <c r="P15" i="1"/>
  <c r="R15" i="1" s="1"/>
  <c r="P17" i="1"/>
  <c r="R17" i="1" s="1"/>
  <c r="P19" i="1"/>
  <c r="P20" i="1"/>
  <c r="P22" i="1"/>
  <c r="P25" i="1"/>
  <c r="P28" i="1"/>
  <c r="P29" i="1"/>
  <c r="P31" i="1"/>
  <c r="K12" i="1"/>
  <c r="L12" i="1"/>
  <c r="O12" i="1"/>
  <c r="K15" i="1"/>
  <c r="Q15" i="1" s="1"/>
  <c r="L15" i="1"/>
  <c r="O15" i="1"/>
  <c r="K17" i="1"/>
  <c r="Q17" i="1" s="1"/>
  <c r="L17" i="1"/>
  <c r="O17" i="1"/>
  <c r="K19" i="1"/>
  <c r="L19" i="1"/>
  <c r="O19" i="1"/>
  <c r="K20" i="1"/>
  <c r="L20" i="1"/>
  <c r="O20" i="1"/>
  <c r="K22" i="1"/>
  <c r="L22" i="1"/>
  <c r="O22" i="1"/>
  <c r="K25" i="1"/>
  <c r="L25" i="1"/>
  <c r="O25" i="1"/>
  <c r="K28" i="1"/>
  <c r="L28" i="1"/>
  <c r="O28" i="1"/>
  <c r="K29" i="1"/>
  <c r="L29" i="1"/>
  <c r="O29" i="1"/>
  <c r="K31" i="1"/>
  <c r="L31" i="1"/>
  <c r="O31" i="1"/>
  <c r="E9" i="1"/>
  <c r="E10" i="1" s="1"/>
  <c r="E11" i="1" s="1"/>
  <c r="B9" i="1"/>
  <c r="Z14" i="1"/>
  <c r="AA14" i="1"/>
  <c r="Z15" i="1"/>
  <c r="AA15" i="1"/>
  <c r="Z16" i="1"/>
  <c r="Z17" i="1"/>
  <c r="AA17" i="1"/>
  <c r="Z18" i="1"/>
  <c r="Z19" i="1"/>
  <c r="AA19" i="1"/>
  <c r="Z20" i="1"/>
  <c r="AA20" i="1"/>
  <c r="Z21" i="1"/>
  <c r="Z22" i="1"/>
  <c r="AA22" i="1"/>
  <c r="Z23" i="1"/>
  <c r="AA23" i="1"/>
  <c r="Z24" i="1"/>
  <c r="AA24" i="1"/>
  <c r="Z25" i="1"/>
  <c r="AA25" i="1"/>
  <c r="Z26" i="1"/>
  <c r="Z27" i="1"/>
  <c r="Z28" i="1"/>
  <c r="AA28" i="1"/>
  <c r="Z29" i="1"/>
  <c r="AA29" i="1"/>
  <c r="Z30" i="1"/>
  <c r="AA30" i="1"/>
  <c r="Z31" i="1"/>
  <c r="AA31" i="1"/>
  <c r="Z32" i="1"/>
  <c r="AA32" i="1"/>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F14" i="1"/>
  <c r="F15" i="1"/>
  <c r="F16" i="1"/>
  <c r="F17" i="1"/>
  <c r="F18" i="1"/>
  <c r="F19" i="1"/>
  <c r="F20" i="1"/>
  <c r="F21" i="1"/>
  <c r="F22" i="1"/>
  <c r="F23" i="1"/>
  <c r="F24" i="1"/>
  <c r="F25" i="1"/>
  <c r="F26" i="1"/>
  <c r="F27" i="1"/>
  <c r="F28" i="1"/>
  <c r="F29" i="1"/>
  <c r="F30" i="1"/>
  <c r="F31" i="1"/>
  <c r="F32" i="1"/>
  <c r="K12" i="2"/>
  <c r="K13" i="2"/>
  <c r="K14" i="2"/>
  <c r="K15" i="2"/>
  <c r="K16" i="2"/>
  <c r="K17" i="2"/>
  <c r="K18" i="2"/>
  <c r="K19" i="2"/>
  <c r="K20" i="2"/>
  <c r="K21" i="2"/>
  <c r="K22" i="2"/>
  <c r="K23" i="2"/>
  <c r="K24" i="2"/>
  <c r="K25" i="2"/>
  <c r="K26" i="2"/>
  <c r="K27" i="2"/>
  <c r="K28" i="2"/>
  <c r="K29" i="2"/>
  <c r="K30" i="2"/>
  <c r="K31" i="2"/>
  <c r="K32" i="2"/>
  <c r="K33" i="2"/>
  <c r="K34" i="2"/>
  <c r="K35" i="2"/>
  <c r="K36" i="2"/>
  <c r="K37" i="2"/>
  <c r="K4" i="2"/>
  <c r="K5" i="2"/>
  <c r="K6" i="2"/>
  <c r="K7" i="2"/>
  <c r="K8" i="2"/>
  <c r="K9" i="2"/>
  <c r="K10" i="2"/>
  <c r="K11" i="2"/>
  <c r="K3" i="2"/>
  <c r="K2" i="2"/>
  <c r="Z10" i="1"/>
  <c r="Z11" i="1"/>
  <c r="Z12" i="1"/>
  <c r="Z13" i="1"/>
  <c r="Z9" i="1"/>
  <c r="AE8" i="1"/>
  <c r="AC8" i="1"/>
  <c r="I32" i="2" l="1"/>
  <c r="J32" i="2" s="1"/>
  <c r="I68" i="2"/>
  <c r="J68" i="2" s="1"/>
  <c r="I56" i="2"/>
  <c r="J56" i="2" s="1"/>
  <c r="I48" i="2"/>
  <c r="J48" i="2" s="1"/>
  <c r="I44" i="2"/>
  <c r="J44" i="2" s="1"/>
  <c r="I36" i="2"/>
  <c r="J36" i="2" s="1"/>
  <c r="I64" i="2"/>
  <c r="J64" i="2" s="1"/>
  <c r="I60" i="2"/>
  <c r="J60" i="2" s="1"/>
  <c r="I52" i="2"/>
  <c r="J52" i="2" s="1"/>
  <c r="I40" i="2"/>
  <c r="J40" i="2" s="1"/>
  <c r="I28" i="2"/>
  <c r="J28" i="2" s="1"/>
  <c r="I69" i="2"/>
  <c r="I65" i="2"/>
  <c r="J65" i="2" s="1"/>
  <c r="I61" i="2"/>
  <c r="I57" i="2"/>
  <c r="J57" i="2" s="1"/>
  <c r="I53" i="2"/>
  <c r="I49" i="2"/>
  <c r="J49" i="2" s="1"/>
  <c r="I45" i="2"/>
  <c r="I41" i="2"/>
  <c r="J41" i="2" s="1"/>
  <c r="I37" i="2"/>
  <c r="I33" i="2"/>
  <c r="J33" i="2" s="1"/>
  <c r="I29" i="2"/>
  <c r="J29" i="2" s="1"/>
  <c r="I58" i="2"/>
  <c r="J58" i="2" s="1"/>
  <c r="I70" i="2"/>
  <c r="J70" i="2" s="1"/>
  <c r="I62" i="2"/>
  <c r="J62" i="2" s="1"/>
  <c r="I50" i="2"/>
  <c r="J50" i="2" s="1"/>
  <c r="I42" i="2"/>
  <c r="J42" i="2" s="1"/>
  <c r="I34" i="2"/>
  <c r="J34" i="2" s="1"/>
  <c r="I66" i="2"/>
  <c r="J66" i="2" s="1"/>
  <c r="I54" i="2"/>
  <c r="J54" i="2" s="1"/>
  <c r="I46" i="2"/>
  <c r="J46" i="2" s="1"/>
  <c r="I38" i="2"/>
  <c r="J38" i="2" s="1"/>
  <c r="I30" i="2"/>
  <c r="J30" i="2" s="1"/>
  <c r="I63" i="2"/>
  <c r="I51" i="2"/>
  <c r="I43" i="2"/>
  <c r="I35" i="2"/>
  <c r="I31" i="2"/>
  <c r="I27" i="2"/>
  <c r="I67" i="2"/>
  <c r="I55" i="2"/>
  <c r="I47" i="2"/>
  <c r="I39" i="2"/>
  <c r="I59" i="2"/>
  <c r="D35" i="1"/>
  <c r="C35" i="1" s="1"/>
  <c r="M17" i="1"/>
  <c r="N17" i="1" s="1"/>
  <c r="I23" i="2"/>
  <c r="J23" i="2" s="1"/>
  <c r="I19" i="2"/>
  <c r="J19" i="2" s="1"/>
  <c r="I15" i="2"/>
  <c r="J15" i="2" s="1"/>
  <c r="I11" i="2"/>
  <c r="J11" i="2" s="1"/>
  <c r="M15" i="1"/>
  <c r="N15" i="1" s="1"/>
  <c r="M25" i="1"/>
  <c r="N25" i="1" s="1"/>
  <c r="M28" i="1"/>
  <c r="N28" i="1" s="1"/>
  <c r="I24" i="2"/>
  <c r="I20" i="2"/>
  <c r="I16" i="2"/>
  <c r="I12" i="2"/>
  <c r="I8" i="2"/>
  <c r="M31" i="1"/>
  <c r="N31" i="1" s="1"/>
  <c r="I25" i="2"/>
  <c r="I9" i="2"/>
  <c r="M22" i="1"/>
  <c r="N22" i="1" s="1"/>
  <c r="M12" i="1"/>
  <c r="N12" i="1" s="1"/>
  <c r="I21" i="2"/>
  <c r="I13" i="2"/>
  <c r="I14" i="2"/>
  <c r="I17" i="2"/>
  <c r="M19" i="1"/>
  <c r="N19" i="1" s="1"/>
  <c r="I26" i="2"/>
  <c r="I22" i="2"/>
  <c r="I18" i="2"/>
  <c r="I10" i="2"/>
  <c r="M20" i="1"/>
  <c r="N20" i="1" s="1"/>
  <c r="M29" i="1"/>
  <c r="N29" i="1" s="1"/>
  <c r="F8" i="1"/>
  <c r="P8" i="1"/>
  <c r="R8" i="1" s="1"/>
  <c r="K8" i="1"/>
  <c r="Q8" i="1" s="1"/>
  <c r="L8" i="1"/>
  <c r="O8" i="1"/>
  <c r="C2" i="2"/>
  <c r="C8" i="1"/>
  <c r="B8" i="1"/>
  <c r="J10" i="1"/>
  <c r="F10" i="1"/>
  <c r="F11" i="1"/>
  <c r="F12" i="1"/>
  <c r="F13" i="1"/>
  <c r="F9" i="1"/>
  <c r="D48" i="1" l="1"/>
  <c r="C48" i="1" s="1"/>
  <c r="D74" i="1"/>
  <c r="C74" i="1" s="1"/>
  <c r="D76" i="1"/>
  <c r="C76" i="1" s="1"/>
  <c r="D34" i="1"/>
  <c r="C34" i="1" s="1"/>
  <c r="D62" i="1"/>
  <c r="C62" i="1" s="1"/>
  <c r="D70" i="1"/>
  <c r="C70" i="1" s="1"/>
  <c r="D50" i="1"/>
  <c r="C50" i="1" s="1"/>
  <c r="D63" i="1"/>
  <c r="C63" i="1" s="1"/>
  <c r="D58" i="1"/>
  <c r="C58" i="1" s="1"/>
  <c r="D47" i="1"/>
  <c r="C47" i="1" s="1"/>
  <c r="D42" i="1"/>
  <c r="C42" i="1" s="1"/>
  <c r="D46" i="1"/>
  <c r="C46" i="1" s="1"/>
  <c r="D55" i="1"/>
  <c r="C55" i="1" s="1"/>
  <c r="D68" i="1"/>
  <c r="C68" i="1" s="1"/>
  <c r="D21" i="1"/>
  <c r="C21" i="1" s="1"/>
  <c r="D60" i="1"/>
  <c r="C60" i="1" s="1"/>
  <c r="D25" i="1"/>
  <c r="C25" i="1" s="1"/>
  <c r="D36" i="1"/>
  <c r="C36" i="1" s="1"/>
  <c r="D66" i="1"/>
  <c r="C66" i="1" s="1"/>
  <c r="D54" i="1"/>
  <c r="C54" i="1" s="1"/>
  <c r="D56" i="1"/>
  <c r="C56" i="1" s="1"/>
  <c r="D38" i="1"/>
  <c r="C38" i="1" s="1"/>
  <c r="J69" i="2"/>
  <c r="D75" i="1"/>
  <c r="C75" i="1" s="1"/>
  <c r="J61" i="2"/>
  <c r="D67" i="1"/>
  <c r="C67" i="1" s="1"/>
  <c r="D71" i="1"/>
  <c r="C71" i="1" s="1"/>
  <c r="J53" i="2"/>
  <c r="D59" i="1"/>
  <c r="C59" i="1" s="1"/>
  <c r="D52" i="1"/>
  <c r="C52" i="1" s="1"/>
  <c r="D44" i="1"/>
  <c r="C44" i="1" s="1"/>
  <c r="D40" i="1"/>
  <c r="C40" i="1" s="1"/>
  <c r="J45" i="2"/>
  <c r="D51" i="1"/>
  <c r="C51" i="1" s="1"/>
  <c r="D39" i="1"/>
  <c r="C39" i="1" s="1"/>
  <c r="J37" i="2"/>
  <c r="D43" i="1"/>
  <c r="C43" i="1" s="1"/>
  <c r="D64" i="1"/>
  <c r="C64" i="1" s="1"/>
  <c r="D72" i="1"/>
  <c r="C72" i="1" s="1"/>
  <c r="J55" i="2"/>
  <c r="D61" i="1"/>
  <c r="C61" i="1" s="1"/>
  <c r="J59" i="2"/>
  <c r="D65" i="1"/>
  <c r="C65" i="1" s="1"/>
  <c r="J47" i="2"/>
  <c r="D53" i="1"/>
  <c r="C53" i="1" s="1"/>
  <c r="J39" i="2"/>
  <c r="D45" i="1"/>
  <c r="C45" i="1" s="1"/>
  <c r="J63" i="2"/>
  <c r="D69" i="1"/>
  <c r="C69" i="1" s="1"/>
  <c r="J51" i="2"/>
  <c r="D57" i="1"/>
  <c r="C57" i="1" s="1"/>
  <c r="J35" i="2"/>
  <c r="D41" i="1"/>
  <c r="C41" i="1" s="1"/>
  <c r="J43" i="2"/>
  <c r="D49" i="1"/>
  <c r="C49" i="1" s="1"/>
  <c r="J31" i="2"/>
  <c r="D37" i="1"/>
  <c r="C37" i="1" s="1"/>
  <c r="J67" i="2"/>
  <c r="D73" i="1"/>
  <c r="C73" i="1" s="1"/>
  <c r="J27" i="2"/>
  <c r="D33" i="1"/>
  <c r="C33" i="1" s="1"/>
  <c r="D29" i="1"/>
  <c r="C29" i="1" s="1"/>
  <c r="D17" i="1"/>
  <c r="C17" i="1" s="1"/>
  <c r="J24" i="2"/>
  <c r="D30" i="1"/>
  <c r="C30" i="1" s="1"/>
  <c r="J18" i="2"/>
  <c r="D24" i="1"/>
  <c r="C24" i="1" s="1"/>
  <c r="J13" i="2"/>
  <c r="D19" i="1"/>
  <c r="J10" i="2"/>
  <c r="D16" i="1"/>
  <c r="C16" i="1" s="1"/>
  <c r="J14" i="2"/>
  <c r="D20" i="1"/>
  <c r="C20" i="1" s="1"/>
  <c r="J25" i="2"/>
  <c r="D31" i="1"/>
  <c r="C31" i="1" s="1"/>
  <c r="J9" i="2"/>
  <c r="D15" i="1"/>
  <c r="C15" i="1" s="1"/>
  <c r="J16" i="2"/>
  <c r="D22" i="1"/>
  <c r="J12" i="2"/>
  <c r="D18" i="1"/>
  <c r="C18" i="1" s="1"/>
  <c r="J17" i="2"/>
  <c r="D23" i="1"/>
  <c r="C23" i="1" s="1"/>
  <c r="J20" i="2"/>
  <c r="D26" i="1"/>
  <c r="C26" i="1" s="1"/>
  <c r="J26" i="2"/>
  <c r="D32" i="1"/>
  <c r="C32" i="1" s="1"/>
  <c r="J22" i="2"/>
  <c r="D28" i="1"/>
  <c r="J21" i="2"/>
  <c r="D27" i="1"/>
  <c r="C27" i="1" s="1"/>
  <c r="J8" i="2"/>
  <c r="D14" i="1"/>
  <c r="C14" i="1" s="1"/>
  <c r="M8" i="1"/>
  <c r="N8" i="1" s="1"/>
  <c r="C22" i="1" l="1"/>
  <c r="C28" i="1"/>
  <c r="C19" i="1"/>
  <c r="C3" i="2"/>
  <c r="C4" i="2"/>
  <c r="J11" i="1" l="1"/>
  <c r="G4" i="2"/>
  <c r="H4" i="2"/>
  <c r="G5" i="2"/>
  <c r="H5" i="2"/>
  <c r="G6" i="2"/>
  <c r="H6" i="2"/>
  <c r="G7" i="2"/>
  <c r="H7" i="2"/>
  <c r="H3" i="2"/>
  <c r="G3" i="2"/>
  <c r="I5" i="2" l="1"/>
  <c r="D11" i="1" s="1"/>
  <c r="C11" i="1" s="1"/>
  <c r="J12" i="1"/>
  <c r="C5" i="2"/>
  <c r="I6" i="2"/>
  <c r="I7" i="2"/>
  <c r="D13" i="1" s="1"/>
  <c r="C13" i="1" s="1"/>
  <c r="E12" i="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I4" i="2"/>
  <c r="D10" i="1" s="1"/>
  <c r="I3" i="2"/>
  <c r="D9" i="1" s="1"/>
  <c r="C10" i="1" l="1"/>
  <c r="D12" i="1"/>
  <c r="C12" i="1" s="1"/>
  <c r="C9" i="1"/>
  <c r="L7" i="2"/>
  <c r="L5" i="2"/>
  <c r="L6" i="2"/>
  <c r="L4" i="2"/>
  <c r="L3" i="2"/>
  <c r="J3" i="2"/>
  <c r="J5" i="2"/>
  <c r="J6" i="2"/>
  <c r="J7" i="2"/>
  <c r="J4" i="2"/>
  <c r="J13" i="1"/>
  <c r="C6" i="2"/>
  <c r="O9" i="1" l="1"/>
  <c r="J14" i="1"/>
  <c r="AA12" i="1"/>
  <c r="AA10" i="1"/>
  <c r="K9" i="1"/>
  <c r="L9" i="1"/>
  <c r="C7" i="2"/>
  <c r="M9" i="1" l="1"/>
  <c r="N9" i="1" s="1"/>
  <c r="S9" i="1" s="1"/>
  <c r="AB9" i="1" s="1"/>
  <c r="C8" i="2"/>
  <c r="J15" i="1"/>
  <c r="AA9" i="1"/>
  <c r="Q12" i="1"/>
  <c r="R12" i="1"/>
  <c r="Q9" i="1"/>
  <c r="C9" i="2" l="1"/>
  <c r="J16" i="1"/>
  <c r="V9" i="1"/>
  <c r="T9" i="1"/>
  <c r="C10" i="2" l="1"/>
  <c r="J17" i="1"/>
  <c r="AC9" i="1"/>
  <c r="AE9" i="1"/>
  <c r="C11" i="2" l="1"/>
  <c r="J18" i="1"/>
  <c r="C12" i="2" l="1"/>
  <c r="J19" i="1"/>
  <c r="J20" i="1" l="1"/>
  <c r="C13" i="2"/>
  <c r="C14" i="2" l="1"/>
  <c r="J21" i="1"/>
  <c r="J22" i="1" l="1"/>
  <c r="C15" i="2"/>
  <c r="J23" i="1" l="1"/>
  <c r="C16" i="2"/>
  <c r="J24" i="1" l="1"/>
  <c r="C17" i="2"/>
  <c r="J25" i="1" l="1"/>
  <c r="C18" i="2"/>
  <c r="Q28" i="1"/>
  <c r="Q22" i="1"/>
  <c r="Q20" i="1"/>
  <c r="J26" i="1" l="1"/>
  <c r="C19" i="2"/>
  <c r="Q31" i="1"/>
  <c r="R25" i="1"/>
  <c r="Q19" i="1"/>
  <c r="R31" i="1"/>
  <c r="R28" i="1"/>
  <c r="Q29" i="1"/>
  <c r="R22" i="1"/>
  <c r="R20" i="1"/>
  <c r="R19" i="1"/>
  <c r="R29" i="1"/>
  <c r="Q25" i="1"/>
  <c r="J27" i="1" l="1"/>
  <c r="C20" i="2"/>
  <c r="J28" i="1" l="1"/>
  <c r="C21" i="2"/>
  <c r="J29" i="1" l="1"/>
  <c r="C22" i="2"/>
  <c r="J30" i="1" l="1"/>
  <c r="C23" i="2"/>
  <c r="C24" i="2" l="1"/>
  <c r="J31" i="1"/>
  <c r="J32" i="1" l="1"/>
  <c r="J33" i="1" s="1"/>
  <c r="C25" i="2"/>
  <c r="C27" i="2" l="1"/>
  <c r="J34" i="1"/>
  <c r="C26" i="2"/>
  <c r="C28" i="2" l="1"/>
  <c r="J35" i="1"/>
  <c r="J36" i="1" l="1"/>
  <c r="C29" i="2"/>
  <c r="J37" i="1" l="1"/>
  <c r="C30" i="2"/>
  <c r="J38" i="1" l="1"/>
  <c r="C31" i="2"/>
  <c r="C32" i="2" l="1"/>
  <c r="J39" i="1"/>
  <c r="C33" i="2" l="1"/>
  <c r="J40" i="1"/>
  <c r="C34" i="2" l="1"/>
  <c r="J41" i="1"/>
  <c r="C35" i="2" l="1"/>
  <c r="J42" i="1"/>
  <c r="J43" i="1" l="1"/>
  <c r="C36" i="2"/>
  <c r="C37" i="2" l="1"/>
  <c r="J44" i="1"/>
  <c r="J45" i="1" l="1"/>
  <c r="C38" i="2"/>
  <c r="C39" i="2" l="1"/>
  <c r="J46" i="1"/>
  <c r="J47" i="1" l="1"/>
  <c r="C40" i="2"/>
  <c r="J48" i="1" l="1"/>
  <c r="C41" i="2"/>
  <c r="C42" i="2" l="1"/>
  <c r="J49" i="1"/>
  <c r="C43" i="2" l="1"/>
  <c r="J50" i="1"/>
  <c r="L67" i="1"/>
  <c r="J51" i="1" l="1"/>
  <c r="C44" i="2"/>
  <c r="K74" i="1"/>
  <c r="O74" i="1"/>
  <c r="O67" i="1"/>
  <c r="M67" i="1" s="1"/>
  <c r="N67" i="1" s="1"/>
  <c r="L36" i="1"/>
  <c r="K36" i="1"/>
  <c r="O36" i="1"/>
  <c r="L42" i="1"/>
  <c r="K42" i="1"/>
  <c r="Q42" i="1" s="1"/>
  <c r="K41" i="1"/>
  <c r="O42" i="1"/>
  <c r="K43" i="1"/>
  <c r="L41" i="1"/>
  <c r="L43" i="1"/>
  <c r="O41" i="1"/>
  <c r="O43" i="1"/>
  <c r="L47" i="1"/>
  <c r="O47" i="1"/>
  <c r="K47" i="1"/>
  <c r="Q47" i="1" s="1"/>
  <c r="K53" i="1"/>
  <c r="O53" i="1"/>
  <c r="L53" i="1"/>
  <c r="O56" i="1"/>
  <c r="L56" i="1"/>
  <c r="K56" i="1"/>
  <c r="O57" i="1"/>
  <c r="K57" i="1"/>
  <c r="L57" i="1"/>
  <c r="K59" i="1"/>
  <c r="O59" i="1"/>
  <c r="L59" i="1"/>
  <c r="O61" i="1"/>
  <c r="K61" i="1"/>
  <c r="L61" i="1"/>
  <c r="K64" i="1"/>
  <c r="L64" i="1"/>
  <c r="O64" i="1"/>
  <c r="L65" i="1"/>
  <c r="K65" i="1"/>
  <c r="O65" i="1"/>
  <c r="K70" i="1"/>
  <c r="O70" i="1"/>
  <c r="L74" i="1"/>
  <c r="L70" i="1"/>
  <c r="L75" i="1"/>
  <c r="O75" i="1"/>
  <c r="K75" i="1"/>
  <c r="P75" i="1"/>
  <c r="K67" i="1"/>
  <c r="Q67" i="1" s="1"/>
  <c r="C45" i="2" l="1"/>
  <c r="J52" i="1"/>
  <c r="M41" i="1"/>
  <c r="N41" i="1" s="1"/>
  <c r="M64" i="1"/>
  <c r="N64" i="1" s="1"/>
  <c r="M47" i="1"/>
  <c r="N47" i="1" s="1"/>
  <c r="M42" i="1"/>
  <c r="N42" i="1" s="1"/>
  <c r="M59" i="1"/>
  <c r="N59" i="1" s="1"/>
  <c r="Q57" i="1"/>
  <c r="Q65" i="1"/>
  <c r="M65" i="1"/>
  <c r="N65" i="1" s="1"/>
  <c r="M75" i="1"/>
  <c r="N75" i="1" s="1"/>
  <c r="M36" i="1"/>
  <c r="N36" i="1" s="1"/>
  <c r="R75" i="1"/>
  <c r="M61" i="1"/>
  <c r="N61" i="1" s="1"/>
  <c r="M53" i="1"/>
  <c r="N53" i="1" s="1"/>
  <c r="Q59" i="1"/>
  <c r="M57" i="1"/>
  <c r="N57" i="1" s="1"/>
  <c r="P36" i="1"/>
  <c r="R36" i="1" s="1"/>
  <c r="P41" i="1"/>
  <c r="R41" i="1" s="1"/>
  <c r="P42" i="1"/>
  <c r="R42" i="1" s="1"/>
  <c r="P43" i="1"/>
  <c r="R43" i="1" s="1"/>
  <c r="P47" i="1"/>
  <c r="R47" i="1" s="1"/>
  <c r="P53" i="1"/>
  <c r="R53" i="1" s="1"/>
  <c r="P57" i="1"/>
  <c r="R57" i="1" s="1"/>
  <c r="P56" i="1"/>
  <c r="R56" i="1" s="1"/>
  <c r="P59" i="1"/>
  <c r="R59" i="1" s="1"/>
  <c r="P61" i="1"/>
  <c r="R61" i="1" s="1"/>
  <c r="P64" i="1"/>
  <c r="R64" i="1" s="1"/>
  <c r="P65" i="1"/>
  <c r="R65" i="1" s="1"/>
  <c r="P70" i="1"/>
  <c r="R70" i="1" s="1"/>
  <c r="P74" i="1"/>
  <c r="R74" i="1" s="1"/>
  <c r="P67" i="1"/>
  <c r="R67" i="1" s="1"/>
  <c r="Q43" i="1"/>
  <c r="Q75" i="1"/>
  <c r="Q53" i="1"/>
  <c r="Q41" i="1"/>
  <c r="Q56" i="1"/>
  <c r="Q64" i="1"/>
  <c r="Q61" i="1"/>
  <c r="M56" i="1"/>
  <c r="N56" i="1" s="1"/>
  <c r="Q36" i="1"/>
  <c r="Q70" i="1"/>
  <c r="M74" i="1"/>
  <c r="N74" i="1" s="1"/>
  <c r="Q74" i="1"/>
  <c r="M70" i="1"/>
  <c r="N70" i="1" s="1"/>
  <c r="M43" i="1"/>
  <c r="N43" i="1" s="1"/>
  <c r="J53" i="1" l="1"/>
  <c r="C46" i="2"/>
  <c r="C47" i="2" l="1"/>
  <c r="J54" i="1"/>
  <c r="J55" i="1" l="1"/>
  <c r="C48" i="2"/>
  <c r="C49" i="2" l="1"/>
  <c r="J56" i="1"/>
  <c r="J57" i="1" l="1"/>
  <c r="C50" i="2"/>
  <c r="C51" i="2" l="1"/>
  <c r="J58" i="1"/>
  <c r="J59" i="1" l="1"/>
  <c r="C52" i="2"/>
  <c r="C53" i="2" l="1"/>
  <c r="J60" i="1"/>
  <c r="J61" i="1" l="1"/>
  <c r="C54" i="2"/>
  <c r="C55" i="2" l="1"/>
  <c r="J62" i="1"/>
  <c r="J63" i="1" l="1"/>
  <c r="C56" i="2"/>
  <c r="C57" i="2" l="1"/>
  <c r="J64" i="1"/>
  <c r="C58" i="2" l="1"/>
  <c r="J65" i="1"/>
  <c r="C59" i="2" l="1"/>
  <c r="J66" i="1"/>
  <c r="J67" i="1" l="1"/>
  <c r="C60" i="2"/>
  <c r="C61" i="2" l="1"/>
  <c r="J68" i="1"/>
  <c r="J69" i="1" l="1"/>
  <c r="C62" i="2"/>
  <c r="J70" i="1" l="1"/>
  <c r="C63" i="2"/>
  <c r="J71" i="1" l="1"/>
  <c r="C64" i="2"/>
  <c r="C65" i="2" l="1"/>
  <c r="J72" i="1"/>
  <c r="J73" i="1" l="1"/>
  <c r="C66" i="2"/>
  <c r="C67" i="2" l="1"/>
  <c r="J74" i="1"/>
  <c r="J75" i="1" l="1"/>
  <c r="C68" i="2"/>
  <c r="J76" i="1" l="1"/>
  <c r="C69" i="2"/>
  <c r="L72" i="1"/>
  <c r="AA72" i="1" s="1"/>
  <c r="O73" i="1"/>
  <c r="K37" i="1" l="1"/>
  <c r="O37" i="1"/>
  <c r="M37" i="1" s="1"/>
  <c r="N37" i="1" s="1"/>
  <c r="L37" i="1"/>
  <c r="L71" i="1"/>
  <c r="O23" i="1"/>
  <c r="L23" i="1"/>
  <c r="K23" i="1"/>
  <c r="Q23" i="1" s="1"/>
  <c r="O71" i="1"/>
  <c r="M71" i="1" s="1"/>
  <c r="N71" i="1" s="1"/>
  <c r="K71" i="1"/>
  <c r="K48" i="1"/>
  <c r="L48" i="1"/>
  <c r="AA48" i="1" s="1"/>
  <c r="O48" i="1"/>
  <c r="K24" i="1"/>
  <c r="L24" i="1"/>
  <c r="O24" i="1"/>
  <c r="L30" i="1"/>
  <c r="K30" i="1"/>
  <c r="O30" i="1"/>
  <c r="L51" i="1"/>
  <c r="O51" i="1"/>
  <c r="K51" i="1"/>
  <c r="Q51" i="1" s="1"/>
  <c r="O32" i="1"/>
  <c r="L32" i="1"/>
  <c r="K32" i="1"/>
  <c r="K68" i="1"/>
  <c r="L21" i="1"/>
  <c r="AA21" i="1" s="1"/>
  <c r="O21" i="1"/>
  <c r="K21" i="1"/>
  <c r="K72" i="1"/>
  <c r="Q72" i="1" s="1"/>
  <c r="O72" i="1"/>
  <c r="M72" i="1" s="1"/>
  <c r="N72" i="1" s="1"/>
  <c r="K10" i="1"/>
  <c r="O10" i="1"/>
  <c r="L10" i="1"/>
  <c r="K73" i="1"/>
  <c r="L68" i="1"/>
  <c r="AA68" i="1" s="1"/>
  <c r="K76" i="1"/>
  <c r="C70" i="2"/>
  <c r="L76" i="1"/>
  <c r="O76" i="1"/>
  <c r="K38" i="1"/>
  <c r="K39" i="1"/>
  <c r="L33" i="1"/>
  <c r="O44" i="1"/>
  <c r="O49" i="1"/>
  <c r="K40" i="1"/>
  <c r="L34" i="1"/>
  <c r="AA34" i="1" s="1"/>
  <c r="K49" i="1"/>
  <c r="O13" i="1"/>
  <c r="O34" i="1"/>
  <c r="O39" i="1"/>
  <c r="K16" i="1"/>
  <c r="L45" i="1"/>
  <c r="AA45" i="1" s="1"/>
  <c r="L50" i="1"/>
  <c r="AA50" i="1" s="1"/>
  <c r="K13" i="1"/>
  <c r="O16" i="1"/>
  <c r="L13" i="1"/>
  <c r="AA13" i="1" s="1"/>
  <c r="K45" i="1"/>
  <c r="O33" i="1"/>
  <c r="M33" i="1" s="1"/>
  <c r="N33" i="1" s="1"/>
  <c r="L38" i="1"/>
  <c r="K35" i="1"/>
  <c r="O27" i="1"/>
  <c r="L35" i="1"/>
  <c r="AA35" i="1" s="1"/>
  <c r="O14" i="1"/>
  <c r="K33" i="1"/>
  <c r="L26" i="1"/>
  <c r="AA26" i="1" s="1"/>
  <c r="K50" i="1"/>
  <c r="K11" i="1"/>
  <c r="O45" i="1"/>
  <c r="M45" i="1" s="1"/>
  <c r="N45" i="1" s="1"/>
  <c r="L44" i="1"/>
  <c r="AA44" i="1" s="1"/>
  <c r="L18" i="1"/>
  <c r="AA18" i="1" s="1"/>
  <c r="O46" i="1"/>
  <c r="L27" i="1"/>
  <c r="AA27" i="1" s="1"/>
  <c r="K14" i="1"/>
  <c r="L46" i="1"/>
  <c r="L16" i="1"/>
  <c r="AA16" i="1" s="1"/>
  <c r="L39" i="1"/>
  <c r="K52" i="1"/>
  <c r="O11" i="1"/>
  <c r="K27" i="1"/>
  <c r="O50" i="1"/>
  <c r="L49" i="1"/>
  <c r="O40" i="1"/>
  <c r="L40" i="1"/>
  <c r="AA40" i="1" s="1"/>
  <c r="K26" i="1"/>
  <c r="O26" i="1"/>
  <c r="O35" i="1"/>
  <c r="M35" i="1" s="1"/>
  <c r="N35" i="1" s="1"/>
  <c r="K44" i="1"/>
  <c r="O52" i="1"/>
  <c r="K34" i="1"/>
  <c r="K18" i="1"/>
  <c r="L14" i="1"/>
  <c r="L11" i="1"/>
  <c r="AA11" i="1" s="1"/>
  <c r="O18" i="1"/>
  <c r="L52" i="1"/>
  <c r="K46" i="1"/>
  <c r="O38" i="1"/>
  <c r="L55" i="1"/>
  <c r="AA55" i="1" s="1"/>
  <c r="K54" i="1"/>
  <c r="O54" i="1"/>
  <c r="O55" i="1"/>
  <c r="K55" i="1"/>
  <c r="L54" i="1"/>
  <c r="O58" i="1"/>
  <c r="K58" i="1"/>
  <c r="L58" i="1"/>
  <c r="AA58" i="1" s="1"/>
  <c r="O60" i="1"/>
  <c r="L60" i="1"/>
  <c r="O62" i="1"/>
  <c r="K60" i="1"/>
  <c r="O63" i="1"/>
  <c r="K63" i="1"/>
  <c r="K62" i="1"/>
  <c r="L62" i="1"/>
  <c r="AA62" i="1" s="1"/>
  <c r="L63" i="1"/>
  <c r="L66" i="1"/>
  <c r="AA66" i="1" s="1"/>
  <c r="K66" i="1"/>
  <c r="O66" i="1"/>
  <c r="K69" i="1"/>
  <c r="O69" i="1"/>
  <c r="O68" i="1"/>
  <c r="L69" i="1"/>
  <c r="AA69" i="1" s="1"/>
  <c r="L73" i="1"/>
  <c r="AA73" i="1" s="1"/>
  <c r="Q37" i="1" l="1"/>
  <c r="P23" i="1"/>
  <c r="R23" i="1" s="1"/>
  <c r="P37" i="1"/>
  <c r="R37" i="1" s="1"/>
  <c r="Q71" i="1"/>
  <c r="M23" i="1"/>
  <c r="N23" i="1" s="1"/>
  <c r="P48" i="1"/>
  <c r="R48" i="1" s="1"/>
  <c r="P71" i="1"/>
  <c r="R71" i="1" s="1"/>
  <c r="M48" i="1"/>
  <c r="N48" i="1" s="1"/>
  <c r="Q48" i="1"/>
  <c r="M24" i="1"/>
  <c r="N24" i="1" s="1"/>
  <c r="P30" i="1"/>
  <c r="R30" i="1" s="1"/>
  <c r="P24" i="1"/>
  <c r="R24" i="1" s="1"/>
  <c r="Q30" i="1"/>
  <c r="Q24" i="1"/>
  <c r="M30" i="1"/>
  <c r="N30" i="1" s="1"/>
  <c r="M51" i="1"/>
  <c r="N51" i="1" s="1"/>
  <c r="P32" i="1"/>
  <c r="R32" i="1" s="1"/>
  <c r="P51" i="1"/>
  <c r="R51" i="1" s="1"/>
  <c r="Q21" i="1"/>
  <c r="Q32" i="1"/>
  <c r="M32" i="1"/>
  <c r="N32" i="1" s="1"/>
  <c r="M21" i="1"/>
  <c r="N21" i="1" s="1"/>
  <c r="P10" i="1"/>
  <c r="R10" i="1" s="1"/>
  <c r="P21" i="1"/>
  <c r="R21" i="1" s="1"/>
  <c r="Q69" i="1"/>
  <c r="M63" i="1"/>
  <c r="N63" i="1" s="1"/>
  <c r="Q46" i="1"/>
  <c r="Q63" i="1"/>
  <c r="Q73" i="1"/>
  <c r="M73" i="1"/>
  <c r="N73" i="1" s="1"/>
  <c r="Q13" i="1"/>
  <c r="Q10" i="1"/>
  <c r="M69" i="1"/>
  <c r="N69" i="1" s="1"/>
  <c r="M58" i="1"/>
  <c r="N58" i="1" s="1"/>
  <c r="Q44" i="1"/>
  <c r="Q27" i="1"/>
  <c r="M46" i="1"/>
  <c r="N46" i="1" s="1"/>
  <c r="M10" i="1"/>
  <c r="N10" i="1" s="1"/>
  <c r="S10" i="1" s="1"/>
  <c r="V10" i="1" s="1"/>
  <c r="M50" i="1"/>
  <c r="N50" i="1" s="1"/>
  <c r="Q50" i="1"/>
  <c r="P69" i="1"/>
  <c r="R69" i="1" s="1"/>
  <c r="P73" i="1"/>
  <c r="R73" i="1" s="1"/>
  <c r="Q49" i="1"/>
  <c r="Q62" i="1"/>
  <c r="Q58" i="1"/>
  <c r="Q33" i="1"/>
  <c r="M54" i="1"/>
  <c r="N54" i="1" s="1"/>
  <c r="Q11" i="1"/>
  <c r="M44" i="1"/>
  <c r="N44" i="1" s="1"/>
  <c r="M62" i="1"/>
  <c r="N62" i="1" s="1"/>
  <c r="M55" i="1"/>
  <c r="N55" i="1" s="1"/>
  <c r="Q26" i="1"/>
  <c r="M49" i="1"/>
  <c r="N49" i="1" s="1"/>
  <c r="Q55" i="1"/>
  <c r="M26" i="1"/>
  <c r="N26" i="1" s="1"/>
  <c r="P9" i="1"/>
  <c r="R9" i="1" s="1"/>
  <c r="P76" i="1"/>
  <c r="R76" i="1" s="1"/>
  <c r="P52" i="1"/>
  <c r="R52" i="1" s="1"/>
  <c r="P38" i="1"/>
  <c r="R38" i="1" s="1"/>
  <c r="P16" i="1"/>
  <c r="R16" i="1" s="1"/>
  <c r="P35" i="1"/>
  <c r="R35" i="1" s="1"/>
  <c r="P54" i="1"/>
  <c r="R54" i="1" s="1"/>
  <c r="P44" i="1"/>
  <c r="R44" i="1" s="1"/>
  <c r="P34" i="1"/>
  <c r="R34" i="1" s="1"/>
  <c r="P40" i="1"/>
  <c r="R40" i="1" s="1"/>
  <c r="P18" i="1"/>
  <c r="R18" i="1" s="1"/>
  <c r="P46" i="1"/>
  <c r="R46" i="1" s="1"/>
  <c r="P45" i="1"/>
  <c r="R45" i="1" s="1"/>
  <c r="P27" i="1"/>
  <c r="R27" i="1" s="1"/>
  <c r="P39" i="1"/>
  <c r="R39" i="1" s="1"/>
  <c r="P50" i="1"/>
  <c r="R50" i="1" s="1"/>
  <c r="P26" i="1"/>
  <c r="R26" i="1" s="1"/>
  <c r="P14" i="1"/>
  <c r="R14" i="1" s="1"/>
  <c r="P33" i="1"/>
  <c r="R33" i="1" s="1"/>
  <c r="P13" i="1"/>
  <c r="R13" i="1" s="1"/>
  <c r="P11" i="1"/>
  <c r="R11" i="1" s="1"/>
  <c r="P49" i="1"/>
  <c r="R49" i="1" s="1"/>
  <c r="P55" i="1"/>
  <c r="R55" i="1" s="1"/>
  <c r="P58" i="1"/>
  <c r="R58" i="1" s="1"/>
  <c r="P62" i="1"/>
  <c r="R62" i="1" s="1"/>
  <c r="P60" i="1"/>
  <c r="R60" i="1" s="1"/>
  <c r="P63" i="1"/>
  <c r="R63" i="1" s="1"/>
  <c r="P66" i="1"/>
  <c r="R66" i="1" s="1"/>
  <c r="P68" i="1"/>
  <c r="R68" i="1" s="1"/>
  <c r="P72" i="1"/>
  <c r="R72" i="1" s="1"/>
  <c r="Q35" i="1"/>
  <c r="Q76" i="1"/>
  <c r="Q68" i="1"/>
  <c r="M66" i="1"/>
  <c r="N66" i="1" s="1"/>
  <c r="Q60" i="1"/>
  <c r="M18" i="1"/>
  <c r="N18" i="1" s="1"/>
  <c r="Q52" i="1"/>
  <c r="M27" i="1"/>
  <c r="N27" i="1" s="1"/>
  <c r="Q40" i="1"/>
  <c r="M14" i="1"/>
  <c r="N14" i="1" s="1"/>
  <c r="M68" i="1"/>
  <c r="N68" i="1" s="1"/>
  <c r="M38" i="1"/>
  <c r="N38" i="1" s="1"/>
  <c r="M52" i="1"/>
  <c r="N52" i="1" s="1"/>
  <c r="M13" i="1"/>
  <c r="N13" i="1" s="1"/>
  <c r="Q38" i="1"/>
  <c r="AA49" i="1"/>
  <c r="M11" i="1"/>
  <c r="N11" i="1" s="1"/>
  <c r="M16" i="1"/>
  <c r="N16" i="1" s="1"/>
  <c r="M76" i="1"/>
  <c r="N76" i="1" s="1"/>
  <c r="Q34" i="1"/>
  <c r="Q14" i="1"/>
  <c r="Q45" i="1"/>
  <c r="M34" i="1"/>
  <c r="N34" i="1" s="1"/>
  <c r="Q39" i="1"/>
  <c r="Q16" i="1"/>
  <c r="Q66" i="1"/>
  <c r="M60" i="1"/>
  <c r="N60" i="1" s="1"/>
  <c r="Q54" i="1"/>
  <c r="Q18" i="1"/>
  <c r="M40" i="1"/>
  <c r="N40" i="1" s="1"/>
  <c r="M39" i="1"/>
  <c r="N39" i="1" s="1"/>
  <c r="AB10" i="1" l="1"/>
  <c r="AE10" i="1" s="1"/>
  <c r="T10" i="1"/>
  <c r="S11" i="1" l="1"/>
  <c r="AB11" i="1" s="1"/>
  <c r="AE11" i="1" s="1"/>
  <c r="AC10" i="1"/>
  <c r="S12" i="1" l="1"/>
  <c r="T12" i="1" s="1"/>
  <c r="AC11" i="1"/>
  <c r="T11" i="1"/>
  <c r="V11" i="1"/>
  <c r="AB12" i="1" l="1"/>
  <c r="S13" i="1" s="1"/>
  <c r="V12" i="1"/>
  <c r="AE12" i="1" l="1"/>
  <c r="AC12" i="1"/>
  <c r="V13" i="1"/>
  <c r="T13" i="1"/>
  <c r="AB13" i="1"/>
  <c r="S14" i="1" l="1"/>
  <c r="AC13" i="1"/>
  <c r="AE13" i="1"/>
  <c r="T14" i="1" l="1"/>
  <c r="AB14" i="1"/>
  <c r="V14" i="1"/>
  <c r="AC14" i="1" l="1"/>
  <c r="AE14" i="1"/>
  <c r="S15" i="1"/>
  <c r="AB15" i="1" l="1"/>
  <c r="V15" i="1"/>
  <c r="T15" i="1"/>
  <c r="AC15" i="1" l="1"/>
  <c r="S16" i="1"/>
  <c r="AE15" i="1"/>
  <c r="V16" i="1" l="1"/>
  <c r="T16" i="1"/>
  <c r="AB16" i="1"/>
  <c r="S17" i="1" l="1"/>
  <c r="AC16" i="1"/>
  <c r="AE16" i="1"/>
  <c r="V17" i="1" l="1"/>
  <c r="AB17" i="1"/>
  <c r="T17" i="1"/>
  <c r="AE17" i="1" l="1"/>
  <c r="AC17" i="1"/>
  <c r="S18" i="1"/>
  <c r="T18" i="1" l="1"/>
  <c r="V18" i="1"/>
  <c r="AB18" i="1"/>
  <c r="AE18" i="1" l="1"/>
  <c r="S19" i="1"/>
  <c r="AC18" i="1"/>
  <c r="AB19" i="1" l="1"/>
  <c r="T19" i="1"/>
  <c r="V19" i="1"/>
  <c r="AC19" i="1" l="1"/>
  <c r="S20" i="1"/>
  <c r="AE19" i="1"/>
  <c r="V20" i="1" l="1"/>
  <c r="T20" i="1"/>
  <c r="AB20" i="1"/>
  <c r="AC20" i="1" l="1"/>
  <c r="S21" i="1"/>
  <c r="AE20" i="1"/>
  <c r="T21" i="1" l="1"/>
  <c r="V21" i="1"/>
  <c r="AB21" i="1"/>
  <c r="AE21" i="1" l="1"/>
  <c r="AC21" i="1"/>
  <c r="S22" i="1"/>
  <c r="T22" i="1" l="1"/>
  <c r="V22" i="1"/>
  <c r="AB22" i="1"/>
  <c r="AC22" i="1" l="1"/>
  <c r="AE22" i="1"/>
  <c r="S23" i="1"/>
  <c r="V23" i="1" l="1"/>
  <c r="T23" i="1"/>
  <c r="AB23" i="1"/>
  <c r="AC23" i="1" l="1"/>
  <c r="AE23" i="1"/>
  <c r="S24" i="1"/>
  <c r="T24" i="1" l="1"/>
  <c r="V24" i="1"/>
  <c r="AB24" i="1"/>
  <c r="AE24" i="1" l="1"/>
  <c r="AC24" i="1"/>
  <c r="S25" i="1"/>
  <c r="T25" i="1" l="1"/>
  <c r="V25" i="1"/>
  <c r="AB25" i="1"/>
  <c r="AE25" i="1" l="1"/>
  <c r="AC25" i="1"/>
  <c r="S26" i="1"/>
  <c r="V26" i="1" l="1"/>
  <c r="T26" i="1"/>
  <c r="AB26" i="1"/>
  <c r="S27" i="1" l="1"/>
  <c r="AE26" i="1"/>
  <c r="AC26" i="1"/>
  <c r="T27" i="1" l="1"/>
  <c r="V27" i="1"/>
  <c r="AB27" i="1"/>
  <c r="S28" i="1" l="1"/>
  <c r="AE27" i="1"/>
  <c r="AC27" i="1"/>
  <c r="V28" i="1" l="1"/>
  <c r="T28" i="1"/>
  <c r="AB28" i="1"/>
  <c r="AC28" i="1" l="1"/>
  <c r="AE28" i="1"/>
  <c r="S29" i="1"/>
  <c r="T29" i="1" l="1"/>
  <c r="V29" i="1"/>
  <c r="AB29" i="1"/>
  <c r="AE29" i="1" l="1"/>
  <c r="AC29" i="1"/>
  <c r="S30" i="1"/>
  <c r="T30" i="1" l="1"/>
  <c r="V30" i="1"/>
  <c r="AB30" i="1"/>
  <c r="AE30" i="1" l="1"/>
  <c r="AC30" i="1"/>
  <c r="S31" i="1"/>
  <c r="T31" i="1" l="1"/>
  <c r="V31" i="1"/>
  <c r="AB31" i="1"/>
  <c r="AC31" i="1" l="1"/>
  <c r="AE31" i="1"/>
  <c r="S32" i="1"/>
  <c r="V32" i="1" l="1"/>
  <c r="T32" i="1"/>
  <c r="AB32" i="1"/>
  <c r="AE32" i="1" l="1"/>
  <c r="AC32" i="1"/>
  <c r="S33" i="1"/>
  <c r="V33" i="1" l="1"/>
  <c r="AB33" i="1"/>
  <c r="T33" i="1"/>
  <c r="S34" i="1" l="1"/>
  <c r="AC33" i="1"/>
  <c r="AE33" i="1"/>
  <c r="AB34" i="1" l="1"/>
  <c r="T34" i="1"/>
  <c r="V34" i="1"/>
  <c r="S35" i="1" l="1"/>
  <c r="AC34" i="1"/>
  <c r="AE34" i="1"/>
  <c r="T35" i="1" l="1"/>
  <c r="V35" i="1"/>
  <c r="AB35" i="1"/>
  <c r="S36" i="1" l="1"/>
  <c r="AC35" i="1"/>
  <c r="AE35" i="1"/>
  <c r="T36" i="1" l="1"/>
  <c r="V36" i="1"/>
  <c r="AB36" i="1"/>
  <c r="S37" i="1" l="1"/>
  <c r="AC36" i="1"/>
  <c r="AE36" i="1"/>
  <c r="V37" i="1" l="1"/>
  <c r="AB37" i="1"/>
  <c r="T37" i="1"/>
  <c r="S38" i="1" l="1"/>
  <c r="AC37" i="1"/>
  <c r="AE37" i="1"/>
  <c r="AB38" i="1" l="1"/>
  <c r="T38" i="1"/>
  <c r="V38" i="1"/>
  <c r="S39" i="1" l="1"/>
  <c r="AC38" i="1"/>
  <c r="AE38" i="1"/>
  <c r="V39" i="1" l="1"/>
  <c r="T39" i="1"/>
  <c r="AB39" i="1"/>
  <c r="S40" i="1" l="1"/>
  <c r="AC39" i="1"/>
  <c r="AE39" i="1"/>
  <c r="T40" i="1" l="1"/>
  <c r="V40" i="1"/>
  <c r="AB40" i="1"/>
  <c r="S41" i="1" l="1"/>
  <c r="AC40" i="1"/>
  <c r="AE40" i="1"/>
  <c r="V41" i="1" l="1"/>
  <c r="AB41" i="1"/>
  <c r="T41" i="1"/>
  <c r="AE41" i="1" l="1"/>
  <c r="S42" i="1"/>
  <c r="AC41" i="1"/>
  <c r="AB42" i="1" l="1"/>
  <c r="T42" i="1"/>
  <c r="V42" i="1"/>
  <c r="S43" i="1" l="1"/>
  <c r="AC42" i="1"/>
  <c r="AE42" i="1"/>
  <c r="T43" i="1" l="1"/>
  <c r="V43" i="1"/>
  <c r="AB43" i="1"/>
  <c r="AE43" i="1" l="1"/>
  <c r="AC43" i="1"/>
  <c r="S44" i="1"/>
  <c r="T44" i="1" l="1"/>
  <c r="V44" i="1"/>
  <c r="AB44" i="1"/>
  <c r="S45" i="1" l="1"/>
  <c r="AC44" i="1"/>
  <c r="AE44" i="1"/>
  <c r="V45" i="1" l="1"/>
  <c r="AB45" i="1"/>
  <c r="T45" i="1"/>
  <c r="S46" i="1" l="1"/>
  <c r="AE45" i="1"/>
  <c r="AC45" i="1"/>
  <c r="AB46" i="1" l="1"/>
  <c r="T46" i="1"/>
  <c r="V46" i="1"/>
  <c r="S47" i="1" l="1"/>
  <c r="AC46" i="1"/>
  <c r="AE46" i="1"/>
  <c r="T47" i="1" l="1"/>
  <c r="V47" i="1"/>
  <c r="AB47" i="1"/>
  <c r="S48" i="1" l="1"/>
  <c r="AE47" i="1"/>
  <c r="AC47" i="1"/>
  <c r="T48" i="1" l="1"/>
  <c r="V48" i="1"/>
  <c r="AB48" i="1"/>
  <c r="S49" i="1" l="1"/>
  <c r="AC48" i="1"/>
  <c r="AE48" i="1"/>
  <c r="V49" i="1" l="1"/>
  <c r="AB49" i="1"/>
  <c r="T49" i="1"/>
  <c r="AC49" i="1" l="1"/>
  <c r="AE49" i="1"/>
  <c r="S50" i="1"/>
  <c r="T50" i="1" l="1"/>
  <c r="AB50" i="1"/>
  <c r="V50" i="1"/>
  <c r="S51" i="1" l="1"/>
  <c r="AE50" i="1"/>
  <c r="AC50" i="1"/>
  <c r="T51" i="1" l="1"/>
  <c r="V51" i="1"/>
  <c r="AB51" i="1"/>
  <c r="AC51" i="1" l="1"/>
  <c r="AE51" i="1"/>
  <c r="S52" i="1"/>
  <c r="T52" i="1" l="1"/>
  <c r="V52" i="1"/>
  <c r="AB52" i="1"/>
  <c r="S53" i="1" l="1"/>
  <c r="AE52" i="1"/>
  <c r="AC52" i="1"/>
  <c r="V53" i="1" l="1"/>
  <c r="AB53" i="1"/>
  <c r="T53" i="1"/>
  <c r="S54" i="1" l="1"/>
  <c r="AC53" i="1"/>
  <c r="AE53" i="1"/>
  <c r="AB54" i="1" l="1"/>
  <c r="T54" i="1"/>
  <c r="V54" i="1"/>
  <c r="S55" i="1" l="1"/>
  <c r="AE54" i="1"/>
  <c r="AC54" i="1"/>
  <c r="V55" i="1" l="1"/>
  <c r="T55" i="1"/>
  <c r="AB55" i="1"/>
  <c r="AC55" i="1" l="1"/>
  <c r="AE55" i="1"/>
  <c r="S56" i="1"/>
  <c r="T56" i="1" l="1"/>
  <c r="V56" i="1"/>
  <c r="AB56" i="1"/>
  <c r="S57" i="1" l="1"/>
  <c r="AC56" i="1"/>
  <c r="AE56" i="1"/>
  <c r="AB57" i="1" l="1"/>
  <c r="T57" i="1"/>
  <c r="V57" i="1"/>
  <c r="AC57" i="1" l="1"/>
  <c r="AE57" i="1"/>
  <c r="S58" i="1"/>
  <c r="AB58" i="1" l="1"/>
  <c r="V58" i="1"/>
  <c r="T58" i="1"/>
  <c r="S59" i="1" l="1"/>
  <c r="AC58" i="1"/>
  <c r="AE58" i="1"/>
  <c r="T59" i="1" l="1"/>
  <c r="V59" i="1"/>
  <c r="AB59" i="1"/>
  <c r="AE59" i="1" l="1"/>
  <c r="S60" i="1"/>
  <c r="AC59" i="1"/>
  <c r="T60" i="1" l="1"/>
  <c r="V60" i="1"/>
  <c r="AB60" i="1"/>
  <c r="S61" i="1" l="1"/>
  <c r="AC60" i="1"/>
  <c r="AE60" i="1"/>
  <c r="V61" i="1" l="1"/>
  <c r="AB61" i="1"/>
  <c r="T61" i="1"/>
  <c r="AE61" i="1" l="1"/>
  <c r="S62" i="1"/>
  <c r="AC61" i="1"/>
  <c r="AB62" i="1" l="1"/>
  <c r="V62" i="1"/>
  <c r="T62" i="1"/>
  <c r="S63" i="1" l="1"/>
  <c r="AE62" i="1"/>
  <c r="AC62" i="1"/>
  <c r="T63" i="1" l="1"/>
  <c r="V63" i="1"/>
  <c r="AB63" i="1"/>
  <c r="AE63" i="1" l="1"/>
  <c r="AC63" i="1"/>
  <c r="S64" i="1"/>
  <c r="T64" i="1" l="1"/>
  <c r="V64" i="1"/>
  <c r="AB64" i="1"/>
  <c r="S65" i="1" l="1"/>
  <c r="AE64" i="1"/>
  <c r="AC64" i="1"/>
  <c r="V65" i="1" l="1"/>
  <c r="AB65" i="1"/>
  <c r="T65" i="1"/>
  <c r="S66" i="1" l="1"/>
  <c r="AC65" i="1"/>
  <c r="AE65" i="1"/>
  <c r="AB66" i="1" l="1"/>
  <c r="V66" i="1"/>
  <c r="T66" i="1"/>
  <c r="S67" i="1" l="1"/>
  <c r="AC66" i="1"/>
  <c r="AE66" i="1"/>
  <c r="V67" i="1" l="1"/>
  <c r="T67" i="1"/>
  <c r="AB67" i="1"/>
  <c r="AE67" i="1" l="1"/>
  <c r="S68" i="1"/>
  <c r="AC67" i="1"/>
  <c r="T68" i="1" l="1"/>
  <c r="V68" i="1"/>
  <c r="AB68" i="1"/>
  <c r="S69" i="1" l="1"/>
  <c r="AC68" i="1"/>
  <c r="AE68" i="1"/>
  <c r="V69" i="1" l="1"/>
  <c r="AB69" i="1"/>
  <c r="T69" i="1"/>
  <c r="AC69" i="1" l="1"/>
  <c r="AE69" i="1"/>
  <c r="S70" i="1"/>
  <c r="AB70" i="1" l="1"/>
  <c r="V70" i="1"/>
  <c r="T70" i="1"/>
  <c r="S71" i="1" l="1"/>
  <c r="AC70" i="1"/>
  <c r="AE70" i="1"/>
  <c r="V71" i="1" l="1"/>
  <c r="T71" i="1"/>
  <c r="AB71" i="1"/>
  <c r="AE71" i="1" l="1"/>
  <c r="S72" i="1"/>
  <c r="AC71" i="1"/>
  <c r="T72" i="1" l="1"/>
  <c r="V72" i="1"/>
  <c r="AB72" i="1"/>
  <c r="AC72" i="1" l="1"/>
  <c r="S73" i="1"/>
  <c r="AE72" i="1"/>
  <c r="AB73" i="1" l="1"/>
  <c r="V73" i="1"/>
  <c r="T73" i="1"/>
  <c r="AE73" i="1" l="1"/>
  <c r="S74" i="1"/>
  <c r="AC73" i="1"/>
  <c r="AB74" i="1" l="1"/>
  <c r="V74" i="1"/>
  <c r="T74" i="1"/>
  <c r="S75" i="1" l="1"/>
  <c r="AC74" i="1"/>
  <c r="AE74" i="1"/>
  <c r="T75" i="1" l="1"/>
  <c r="V75" i="1"/>
  <c r="AB75" i="1"/>
  <c r="S76" i="1" l="1"/>
  <c r="AE75" i="1"/>
  <c r="AC75" i="1"/>
  <c r="T76" i="1" l="1"/>
  <c r="V76" i="1"/>
  <c r="AB76" i="1"/>
  <c r="AC76" i="1" l="1"/>
  <c r="AE76" i="1"/>
</calcChain>
</file>

<file path=xl/sharedStrings.xml><?xml version="1.0" encoding="utf-8"?>
<sst xmlns="http://schemas.openxmlformats.org/spreadsheetml/2006/main" count="522" uniqueCount="220">
  <si>
    <t>Km</t>
  </si>
  <si>
    <t>Hwy 8</t>
  </si>
  <si>
    <t>Hwy 78</t>
  </si>
  <si>
    <t>nom</t>
  </si>
  <si>
    <t>deniv</t>
  </si>
  <si>
    <t>vitesse</t>
  </si>
  <si>
    <t>heures/jr</t>
  </si>
  <si>
    <t>h/300m mt</t>
  </si>
  <si>
    <t>01 Lac Morena</t>
  </si>
  <si>
    <t>02 Hwy 8</t>
  </si>
  <si>
    <t>03 Mt Laguna</t>
  </si>
  <si>
    <t>05 Wnr Spring</t>
  </si>
  <si>
    <t>04 Hwy 78, Julian</t>
  </si>
  <si>
    <t>detour</t>
  </si>
  <si>
    <t>exit</t>
  </si>
  <si>
    <t>1,9Km road</t>
  </si>
  <si>
    <t>Hwy 79</t>
  </si>
  <si>
    <t>19,3Km road</t>
  </si>
  <si>
    <t>camping Lake Morena</t>
  </si>
  <si>
    <t>0,1Km</t>
  </si>
  <si>
    <t>aire de repos Desert View</t>
  </si>
  <si>
    <t>0Km</t>
  </si>
  <si>
    <t>h marche</t>
  </si>
  <si>
    <t>h deniv</t>
  </si>
  <si>
    <t>h total</t>
  </si>
  <si>
    <t>jr marche</t>
  </si>
  <si>
    <t>Km étape</t>
  </si>
  <si>
    <t>jr étape</t>
  </si>
  <si>
    <t>deniv étape</t>
  </si>
  <si>
    <t>détour</t>
  </si>
  <si>
    <t>KM/jr MOY</t>
  </si>
  <si>
    <t>déniv/jr MOY</t>
  </si>
  <si>
    <t>ETAPES</t>
  </si>
  <si>
    <t>étape</t>
  </si>
  <si>
    <t>MOY étape</t>
  </si>
  <si>
    <t>sélectionner</t>
  </si>
  <si>
    <t>H étape</t>
  </si>
  <si>
    <t>jours ligne</t>
  </si>
  <si>
    <t>H ligne</t>
  </si>
  <si>
    <t>Km cumulés</t>
  </si>
  <si>
    <t>00 Start</t>
  </si>
  <si>
    <t>campo</t>
  </si>
  <si>
    <t>00 start</t>
  </si>
  <si>
    <t>arrivée</t>
  </si>
  <si>
    <t>Départ</t>
  </si>
  <si>
    <t>jours de repos</t>
  </si>
  <si>
    <t>h</t>
  </si>
  <si>
    <t>!!!</t>
  </si>
  <si>
    <t>h sup sans arrêt</t>
  </si>
  <si>
    <t>Né</t>
  </si>
  <si>
    <t>Zé</t>
  </si>
  <si>
    <t>h ét prog</t>
  </si>
  <si>
    <t>jr frac prog</t>
  </si>
  <si>
    <t>Horaires</t>
  </si>
  <si>
    <t>Sections: point d'arrivée</t>
  </si>
  <si>
    <t>Sections</t>
  </si>
  <si>
    <t>06 Hwy 74 - Anza</t>
  </si>
  <si>
    <t>Hwy 74</t>
  </si>
  <si>
    <t>1,6Km road</t>
  </si>
  <si>
    <t>07 Anza to Idyllwild</t>
  </si>
  <si>
    <t>Saddle Junction</t>
  </si>
  <si>
    <t>4,2 KM trail + 4,2Km road</t>
  </si>
  <si>
    <t>08 Idyllwild to Cabazon</t>
  </si>
  <si>
    <t>Int 10</t>
  </si>
  <si>
    <t>7,2Km road</t>
  </si>
  <si>
    <t>09 Cabazon du Bbig Bear City</t>
  </si>
  <si>
    <t>Hwy 18</t>
  </si>
  <si>
    <t>8,7Km road</t>
  </si>
  <si>
    <t>KM cumul</t>
  </si>
  <si>
    <t>Hwy 173</t>
  </si>
  <si>
    <t>Hwy 138</t>
  </si>
  <si>
    <t>10 BBC to Hwy 173</t>
  </si>
  <si>
    <t>11 Hwy 173 to Hwy 138</t>
  </si>
  <si>
    <t>12 Hwy 138 to Best Western Inn</t>
  </si>
  <si>
    <t>Int 15</t>
  </si>
  <si>
    <t>0,6Km road</t>
  </si>
  <si>
    <t>13 B Western Inn to Wrightwood</t>
  </si>
  <si>
    <t>Acorn Trail junction</t>
  </si>
  <si>
    <t>5,8Km trail</t>
  </si>
  <si>
    <t>14 Wrightwood to Acton</t>
  </si>
  <si>
    <t>Soledad Canyon road</t>
  </si>
  <si>
    <t>9,5Km road</t>
  </si>
  <si>
    <t>15 Acton to Agua Dulce</t>
  </si>
  <si>
    <t>0km</t>
  </si>
  <si>
    <t>16 Agua Dulce to Andersons</t>
  </si>
  <si>
    <t>San Francisquito Canyon road</t>
  </si>
  <si>
    <t>3,2Km road</t>
  </si>
  <si>
    <t>17 Andersons to Hiker Town</t>
  </si>
  <si>
    <t>18 Hiker town to Tehachapi</t>
  </si>
  <si>
    <t>Willow Spring road</t>
  </si>
  <si>
    <t>14,8Km road</t>
  </si>
  <si>
    <t>19 Tehachapi to Onyx</t>
  </si>
  <si>
    <t>Hwy 178</t>
  </si>
  <si>
    <t>28,5Km road</t>
  </si>
  <si>
    <t>20 Onyx to Kennedy M</t>
  </si>
  <si>
    <t>Sherman pass road</t>
  </si>
  <si>
    <t>0,8Km road</t>
  </si>
  <si>
    <t>21 Kennedy M to Lone Pine</t>
  </si>
  <si>
    <t>Trail Pass junction</t>
  </si>
  <si>
    <t>2,7Km trail + 29Km road</t>
  </si>
  <si>
    <t>22 Lone Pine to Independance</t>
  </si>
  <si>
    <t>Kearsarge Pass trail junction</t>
  </si>
  <si>
    <t>11,7Km trail +20,9Km road</t>
  </si>
  <si>
    <t>23 Independance to Muir Ranch</t>
  </si>
  <si>
    <t>Muir Ranch south trail junction</t>
  </si>
  <si>
    <t>2,4Km trail</t>
  </si>
  <si>
    <t>24 Muir Ranch to Vermillon Valley R</t>
  </si>
  <si>
    <t>Ferry trail</t>
  </si>
  <si>
    <t>2,4Km trail + Ferry</t>
  </si>
  <si>
    <t>.</t>
  </si>
  <si>
    <t>Achats alim</t>
  </si>
  <si>
    <t>sur place</t>
  </si>
  <si>
    <t>B reçue</t>
  </si>
  <si>
    <t>B env</t>
  </si>
  <si>
    <t>x</t>
  </si>
  <si>
    <t>Reds Meadows trail</t>
  </si>
  <si>
    <t>05Km trail</t>
  </si>
  <si>
    <t>25 VVR to Reds Meadows</t>
  </si>
  <si>
    <t>26 Reds M to Tuolumne M</t>
  </si>
  <si>
    <t>Hwy 120</t>
  </si>
  <si>
    <t>0,5Km trail</t>
  </si>
  <si>
    <t>27 Tuolumne M to Bridgeport</t>
  </si>
  <si>
    <t>Hwy 108</t>
  </si>
  <si>
    <t>49,9Km road</t>
  </si>
  <si>
    <t>28 Bridgeport to Markleeville</t>
  </si>
  <si>
    <t>Hwy 4</t>
  </si>
  <si>
    <t>27,4Km road</t>
  </si>
  <si>
    <t>29 Markleeville du S lake Tahoe</t>
  </si>
  <si>
    <t>Hwy 50</t>
  </si>
  <si>
    <t>30 S L Tahoe to Truckee</t>
  </si>
  <si>
    <t>Hwy 40</t>
  </si>
  <si>
    <t>Hwy 49</t>
  </si>
  <si>
    <t>2,3Km road</t>
  </si>
  <si>
    <t>32 Sierra C to Quincy</t>
  </si>
  <si>
    <t>31 Truckee to Sierra City</t>
  </si>
  <si>
    <t>Bucks Lake Road</t>
  </si>
  <si>
    <t>33 Quincy to Belden</t>
  </si>
  <si>
    <t>on trail</t>
  </si>
  <si>
    <t>34 Belden to Chester</t>
  </si>
  <si>
    <t>Hwy 36</t>
  </si>
  <si>
    <t>12,1Km trail</t>
  </si>
  <si>
    <t>35 Chester to Drakesbad R</t>
  </si>
  <si>
    <t>36 Drakesbad R to Old Station</t>
  </si>
  <si>
    <t>Old station acces trail</t>
  </si>
  <si>
    <t>05KM trail</t>
  </si>
  <si>
    <t>37 Old Station to Burney</t>
  </si>
  <si>
    <t>Hwy 299</t>
  </si>
  <si>
    <t>12,4Km road</t>
  </si>
  <si>
    <t>38 Burney to Burney Falls</t>
  </si>
  <si>
    <t>Int 5</t>
  </si>
  <si>
    <t>39 Burney Falls to Castella</t>
  </si>
  <si>
    <t>Hwy 3</t>
  </si>
  <si>
    <t>40 Castella to Hwy 3</t>
  </si>
  <si>
    <t>Hwy 93</t>
  </si>
  <si>
    <t>41 Hwy 3 to to Hwy 93</t>
  </si>
  <si>
    <t>42 Hwy 93 to Etna</t>
  </si>
  <si>
    <t>Sawyers Bar Road</t>
  </si>
  <si>
    <t>16,7Km road</t>
  </si>
  <si>
    <t>43 Etna to Seiad Valley</t>
  </si>
  <si>
    <t>20,9Km road</t>
  </si>
  <si>
    <t>44 Seiad Valley to Ashland</t>
  </si>
  <si>
    <t>45 Ashland to Hyatt Lake Resort</t>
  </si>
  <si>
    <t>East Hyatt lake road</t>
  </si>
  <si>
    <t>1,3Km road</t>
  </si>
  <si>
    <t>46 Hyatt R to Hwy 140</t>
  </si>
  <si>
    <t>Hwy 140</t>
  </si>
  <si>
    <t>Hwy 62</t>
  </si>
  <si>
    <t>47 Hwy 140 to Crater Lake</t>
  </si>
  <si>
    <t>48 Crater Lake to Hwy 138</t>
  </si>
  <si>
    <t>49 Hwy 138 to forest rd 60</t>
  </si>
  <si>
    <t>forest rd 60</t>
  </si>
  <si>
    <t>50 Forest rd 60 to Shelter cove R</t>
  </si>
  <si>
    <t>Shelter Cove trail</t>
  </si>
  <si>
    <t>3,5Km trail</t>
  </si>
  <si>
    <t>51 Shelter Cove R to Elk lake R</t>
  </si>
  <si>
    <t>Elk lake trail</t>
  </si>
  <si>
    <t>1,6Km trail</t>
  </si>
  <si>
    <t>52 Elk lake R to Sisters</t>
  </si>
  <si>
    <t>Hwy 242</t>
  </si>
  <si>
    <t>24,1Km road</t>
  </si>
  <si>
    <t>53 Sisters to Big lake YC</t>
  </si>
  <si>
    <t>BLYC trail</t>
  </si>
  <si>
    <t>1,3km trail</t>
  </si>
  <si>
    <t>54 BLYC to Olallie Lake</t>
  </si>
  <si>
    <t>on traiml</t>
  </si>
  <si>
    <t>55 Olallie lake to Hwy26</t>
  </si>
  <si>
    <t>Hwy 26</t>
  </si>
  <si>
    <t>56 Hwy 26 to Gov Camp</t>
  </si>
  <si>
    <t>Hwy 35</t>
  </si>
  <si>
    <t>7,7Km road</t>
  </si>
  <si>
    <t>Timberland L trail</t>
  </si>
  <si>
    <t>0,3Km trail</t>
  </si>
  <si>
    <t>57 Gov Camp to Timberland lodge</t>
  </si>
  <si>
    <t>58 Timberland to Cascade Locks</t>
  </si>
  <si>
    <t>59 Cascade Locks to Wind River Rd</t>
  </si>
  <si>
    <t>Wind river Rd</t>
  </si>
  <si>
    <t>60 Wind River Rd to Trout Lake</t>
  </si>
  <si>
    <t>Road 23</t>
  </si>
  <si>
    <t>22,2Km road</t>
  </si>
  <si>
    <t>61 Trout Lake to White Pass</t>
  </si>
  <si>
    <t>Hwy 12</t>
  </si>
  <si>
    <t>62 White Pass to Hwy 410</t>
  </si>
  <si>
    <t>Hwy 410</t>
  </si>
  <si>
    <t>63 Hwy 410 to  Snoqualmie Pass</t>
  </si>
  <si>
    <t>Int 90</t>
  </si>
  <si>
    <t>0,5Km road</t>
  </si>
  <si>
    <t>64 Snaqualmie Pass to Skykomish</t>
  </si>
  <si>
    <t>Hwy 2</t>
  </si>
  <si>
    <t>26,1Km road</t>
  </si>
  <si>
    <t>65 Skykomish to Stehekin</t>
  </si>
  <si>
    <t>High bridge</t>
  </si>
  <si>
    <t>19Km (bus)</t>
  </si>
  <si>
    <t>66 Stehekin to Hwy 20</t>
  </si>
  <si>
    <t>Hwy 20</t>
  </si>
  <si>
    <t>67 Hwy 20 to Hart's Pass</t>
  </si>
  <si>
    <t>camping</t>
  </si>
  <si>
    <t>68 Hart's Pass to Manning Park</t>
  </si>
  <si>
    <t>PLANNIFICATION DES ETAPES DU pct</t>
  </si>
  <si>
    <t>Km/h</t>
  </si>
  <si>
    <t>à environ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</si>
</sst>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d/m/yy;@"/>
    <numFmt numFmtId="167" formatCode="[$-F800]dddd\,\ mmmm\ dd\,\ yyyy"/>
    <numFmt numFmtId="168" formatCode="d/m/yy\ h:mm;@"/>
    <numFmt numFmtId="169" formatCode="h:mm;@"/>
    <numFmt numFmtId="170" formatCode="0.0000"/>
    <numFmt numFmtId="171" formatCode="0.00000"/>
  </numFmts>
  <fonts count="4" x14ac:knownFonts="1">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4" fontId="0" fillId="0" borderId="0" xfId="0" applyNumberFormat="1"/>
    <xf numFmtId="169" fontId="0" fillId="0" borderId="0" xfId="0" applyNumberFormat="1"/>
    <xf numFmtId="3" fontId="0" fillId="0" borderId="0" xfId="0" applyNumberFormat="1"/>
    <xf numFmtId="3" fontId="0" fillId="0" borderId="5" xfId="0" applyNumberFormat="1" applyBorder="1"/>
    <xf numFmtId="1" fontId="1" fillId="2" borderId="1" xfId="0" applyNumberFormat="1"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1" fontId="0" fillId="2" borderId="1" xfId="0" applyNumberFormat="1"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1" xfId="0" applyFill="1" applyBorder="1" applyProtection="1">
      <protection locked="0"/>
    </xf>
    <xf numFmtId="0" fontId="0" fillId="2" borderId="1" xfId="0" applyFont="1" applyFill="1" applyBorder="1" applyProtection="1">
      <protection locked="0"/>
    </xf>
    <xf numFmtId="167" fontId="1" fillId="2" borderId="1" xfId="0" applyNumberFormat="1" applyFont="1" applyFill="1" applyBorder="1" applyAlignment="1" applyProtection="1">
      <alignment horizontal="left" wrapText="1"/>
      <protection locked="0"/>
    </xf>
    <xf numFmtId="0" fontId="0" fillId="0" borderId="1" xfId="0" applyFont="1" applyBorder="1" applyProtection="1">
      <protection locked="0"/>
    </xf>
    <xf numFmtId="166" fontId="0" fillId="0" borderId="1" xfId="0" applyNumberFormat="1" applyFont="1" applyFill="1" applyBorder="1" applyProtection="1">
      <protection locked="0"/>
    </xf>
    <xf numFmtId="166" fontId="0" fillId="0" borderId="0" xfId="0" applyNumberFormat="1" applyFont="1" applyAlignment="1" applyProtection="1">
      <alignment horizontal="center"/>
      <protection locked="0"/>
    </xf>
    <xf numFmtId="2" fontId="0" fillId="0" borderId="0" xfId="0" applyNumberFormat="1" applyFont="1" applyAlignment="1" applyProtection="1">
      <alignment horizontal="center"/>
      <protection locked="0"/>
    </xf>
    <xf numFmtId="20" fontId="0" fillId="0" borderId="0" xfId="0" applyNumberFormat="1" applyFont="1" applyFill="1" applyAlignment="1" applyProtection="1">
      <alignment horizontal="center"/>
      <protection locked="0"/>
    </xf>
    <xf numFmtId="20" fontId="2" fillId="4" borderId="6" xfId="0" applyNumberFormat="1" applyFont="1" applyFill="1" applyBorder="1" applyAlignment="1" applyProtection="1">
      <alignment horizontal="center"/>
      <protection locked="0"/>
    </xf>
    <xf numFmtId="20" fontId="2" fillId="4" borderId="7" xfId="0" applyNumberFormat="1" applyFont="1" applyFill="1" applyBorder="1" applyAlignment="1" applyProtection="1">
      <alignment horizontal="center"/>
      <protection locked="0"/>
    </xf>
    <xf numFmtId="20" fontId="2" fillId="4" borderId="8" xfId="0" applyNumberFormat="1" applyFont="1" applyFill="1" applyBorder="1" applyAlignment="1" applyProtection="1">
      <alignment horizontal="center"/>
      <protection locked="0"/>
    </xf>
    <xf numFmtId="1" fontId="0" fillId="0" borderId="0" xfId="0" applyNumberFormat="1" applyFont="1" applyAlignment="1" applyProtection="1">
      <alignment horizontal="left"/>
      <protection locked="0"/>
    </xf>
    <xf numFmtId="167" fontId="0" fillId="0" borderId="0" xfId="0" applyNumberFormat="1" applyFont="1" applyAlignment="1" applyProtection="1">
      <alignment horizontal="left"/>
      <protection locked="0"/>
    </xf>
    <xf numFmtId="0" fontId="0" fillId="0" borderId="0" xfId="0" applyFont="1" applyProtection="1">
      <protection locked="0"/>
    </xf>
    <xf numFmtId="0" fontId="0" fillId="0" borderId="0" xfId="0"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horizontal="left"/>
      <protection locked="0"/>
    </xf>
    <xf numFmtId="169" fontId="0" fillId="0" borderId="0" xfId="0" applyNumberFormat="1" applyFont="1" applyFill="1" applyAlignment="1" applyProtection="1">
      <alignment horizontal="center"/>
      <protection locked="0"/>
    </xf>
    <xf numFmtId="170" fontId="0" fillId="0" borderId="0" xfId="0" applyNumberFormat="1" applyFont="1" applyAlignment="1" applyProtection="1">
      <alignment horizontal="center"/>
      <protection locked="0"/>
    </xf>
    <xf numFmtId="170" fontId="0" fillId="0" borderId="0" xfId="0" applyNumberFormat="1" applyFont="1" applyFill="1" applyAlignment="1" applyProtection="1">
      <alignment horizontal="center"/>
      <protection locked="0"/>
    </xf>
    <xf numFmtId="3"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67" fontId="0" fillId="0" borderId="0" xfId="0" applyNumberFormat="1" applyFont="1" applyAlignment="1" applyProtection="1">
      <alignment horizontal="left" wrapText="1"/>
      <protection locked="0"/>
    </xf>
    <xf numFmtId="171" fontId="0" fillId="0" borderId="0" xfId="0" applyNumberFormat="1" applyFont="1" applyAlignment="1" applyProtection="1">
      <alignment horizontal="left"/>
      <protection locked="0"/>
    </xf>
    <xf numFmtId="0" fontId="3" fillId="0" borderId="0" xfId="0" applyFont="1" applyFill="1" applyAlignment="1" applyProtection="1">
      <alignment horizontal="center"/>
      <protection locked="0"/>
    </xf>
    <xf numFmtId="2" fontId="0" fillId="0" borderId="0" xfId="0" applyNumberFormat="1" applyFont="1" applyAlignment="1" applyProtection="1">
      <alignment horizontal="left"/>
      <protection locked="0"/>
    </xf>
    <xf numFmtId="0" fontId="0" fillId="0" borderId="2" xfId="0" applyFont="1" applyBorder="1" applyProtection="1">
      <protection locked="0"/>
    </xf>
    <xf numFmtId="0" fontId="0" fillId="2" borderId="2" xfId="0" applyFont="1" applyFill="1" applyBorder="1" applyProtection="1">
      <protection locked="0"/>
    </xf>
    <xf numFmtId="0" fontId="0" fillId="0" borderId="0" xfId="0" applyNumberFormat="1" applyFont="1" applyFill="1" applyAlignment="1" applyProtection="1">
      <alignment horizontal="center"/>
      <protection locked="0"/>
    </xf>
    <xf numFmtId="165" fontId="0" fillId="0" borderId="0" xfId="0" applyNumberFormat="1" applyFont="1" applyAlignment="1" applyProtection="1">
      <alignment horizontal="center"/>
      <protection locked="0"/>
    </xf>
    <xf numFmtId="165" fontId="0" fillId="0" borderId="0" xfId="0" applyNumberFormat="1" applyFont="1" applyFill="1" applyAlignment="1" applyProtection="1">
      <alignment horizont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164" fontId="1" fillId="5" borderId="1" xfId="0" applyNumberFormat="1" applyFont="1" applyFill="1" applyBorder="1" applyAlignment="1" applyProtection="1">
      <alignment horizontal="center"/>
      <protection locked="0"/>
    </xf>
    <xf numFmtId="0" fontId="1" fillId="7" borderId="1"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4" borderId="4" xfId="0" applyFont="1" applyFill="1" applyBorder="1" applyAlignment="1" applyProtection="1">
      <alignment horizontal="center" vertical="center" wrapText="1"/>
      <protection locked="0"/>
    </xf>
    <xf numFmtId="164" fontId="1" fillId="6" borderId="3" xfId="0" applyNumberFormat="1" applyFont="1" applyFill="1" applyBorder="1" applyAlignment="1" applyProtection="1">
      <alignment horizontal="center"/>
      <protection locked="0"/>
    </xf>
    <xf numFmtId="164" fontId="1" fillId="7" borderId="3" xfId="0" applyNumberFormat="1" applyFont="1" applyFill="1" applyBorder="1" applyAlignment="1" applyProtection="1">
      <alignment horizontal="center"/>
      <protection locked="0"/>
    </xf>
    <xf numFmtId="167" fontId="1" fillId="6" borderId="1" xfId="0" applyNumberFormat="1" applyFont="1" applyFill="1" applyBorder="1" applyAlignment="1" applyProtection="1">
      <alignment horizontal="center"/>
      <protection locked="0"/>
    </xf>
    <xf numFmtId="0" fontId="1" fillId="0" borderId="3" xfId="0" applyFont="1" applyFill="1" applyBorder="1" applyAlignment="1" applyProtection="1">
      <alignment horizontal="center" vertical="center" wrapText="1"/>
      <protection locked="0"/>
    </xf>
    <xf numFmtId="2" fontId="1" fillId="0" borderId="3"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left"/>
      <protection locked="0"/>
    </xf>
    <xf numFmtId="0" fontId="1" fillId="4" borderId="3"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164" fontId="1"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3" fontId="1" fillId="3" borderId="1" xfId="0" applyNumberFormat="1"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3" fontId="1" fillId="7" borderId="1" xfId="0" applyNumberFormat="1" applyFont="1" applyFill="1" applyBorder="1" applyAlignment="1" applyProtection="1">
      <alignment horizontal="center" vertical="center" wrapText="1"/>
      <protection locked="0"/>
    </xf>
    <xf numFmtId="167" fontId="1" fillId="3" borderId="1" xfId="0" applyNumberFormat="1"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3" fontId="0" fillId="0" borderId="1" xfId="0" applyNumberFormat="1" applyBorder="1" applyAlignment="1" applyProtection="1">
      <alignment horizontal="left"/>
      <protection locked="0"/>
    </xf>
    <xf numFmtId="0" fontId="1" fillId="3" borderId="1" xfId="0" applyFont="1" applyFill="1" applyBorder="1" applyAlignment="1" applyProtection="1">
      <alignment horizontal="center" wrapText="1"/>
      <protection locked="0"/>
    </xf>
    <xf numFmtId="0" fontId="1" fillId="0" borderId="1" xfId="0" applyFont="1" applyFill="1" applyBorder="1" applyAlignment="1" applyProtection="1">
      <alignment horizontal="center" wrapText="1"/>
      <protection locked="0"/>
    </xf>
    <xf numFmtId="0" fontId="1" fillId="0" borderId="0" xfId="0" applyFont="1" applyAlignment="1" applyProtection="1">
      <alignment horizontal="center" wrapText="1"/>
      <protection locked="0"/>
    </xf>
    <xf numFmtId="0" fontId="0" fillId="3" borderId="1" xfId="0" applyFont="1" applyFill="1" applyBorder="1" applyAlignment="1" applyProtection="1">
      <alignment horizontal="center"/>
      <protection locked="0"/>
    </xf>
    <xf numFmtId="168" fontId="0" fillId="0" borderId="0" xfId="0" applyNumberFormat="1" applyFont="1" applyProtection="1">
      <protection locked="0"/>
    </xf>
    <xf numFmtId="2" fontId="0" fillId="0" borderId="0" xfId="0" applyNumberFormat="1" applyFont="1" applyProtection="1">
      <protection locked="0"/>
    </xf>
    <xf numFmtId="0" fontId="0" fillId="0" borderId="0" xfId="0" applyFont="1" applyAlignment="1" applyProtection="1">
      <alignment horizontal="left"/>
      <protection locked="0"/>
    </xf>
    <xf numFmtId="0" fontId="0" fillId="3" borderId="0" xfId="0" applyFont="1" applyFill="1" applyAlignment="1" applyProtection="1">
      <alignment horizontal="center"/>
      <protection locked="0"/>
    </xf>
    <xf numFmtId="164" fontId="0" fillId="0" borderId="0" xfId="0" applyNumberFormat="1" applyFont="1" applyAlignment="1" applyProtection="1">
      <alignment horizontal="center"/>
      <protection locked="0"/>
    </xf>
    <xf numFmtId="0" fontId="0" fillId="0" borderId="1" xfId="0" applyFont="1" applyBorder="1" applyAlignment="1" applyProtection="1">
      <alignment horizontal="left" wrapText="1"/>
    </xf>
    <xf numFmtId="0" fontId="0" fillId="0" borderId="1" xfId="0" applyFont="1" applyBorder="1" applyProtection="1"/>
    <xf numFmtId="165" fontId="0" fillId="0" borderId="1" xfId="0" applyNumberFormat="1" applyFont="1" applyBorder="1" applyAlignment="1" applyProtection="1">
      <alignment horizontal="center"/>
    </xf>
    <xf numFmtId="2" fontId="0" fillId="0" borderId="1" xfId="0" applyNumberFormat="1" applyFont="1" applyBorder="1" applyAlignment="1" applyProtection="1">
      <alignment horizontal="center"/>
    </xf>
    <xf numFmtId="0" fontId="0" fillId="0" borderId="1" xfId="0" applyFont="1" applyBorder="1" applyAlignment="1" applyProtection="1">
      <alignment horizontal="center" wrapText="1"/>
    </xf>
    <xf numFmtId="3" fontId="0" fillId="0" borderId="1" xfId="0" applyNumberFormat="1" applyFont="1" applyBorder="1" applyAlignment="1" applyProtection="1">
      <alignment horizontal="left"/>
    </xf>
    <xf numFmtId="0" fontId="0" fillId="0" borderId="1" xfId="0" applyFont="1" applyBorder="1" applyAlignment="1" applyProtection="1">
      <alignment horizontal="center"/>
    </xf>
    <xf numFmtId="0" fontId="0" fillId="0" borderId="1" xfId="0" applyBorder="1" applyProtection="1"/>
    <xf numFmtId="164" fontId="0" fillId="0" borderId="1" xfId="0" applyNumberFormat="1" applyFont="1" applyBorder="1" applyAlignment="1" applyProtection="1">
      <alignment horizontal="center"/>
    </xf>
    <xf numFmtId="165" fontId="2" fillId="0" borderId="1" xfId="0" applyNumberFormat="1" applyFont="1" applyBorder="1" applyAlignment="1" applyProtection="1">
      <alignment horizontal="center"/>
    </xf>
    <xf numFmtId="165" fontId="0" fillId="3" borderId="1" xfId="0" applyNumberFormat="1" applyFont="1" applyFill="1" applyBorder="1" applyAlignment="1" applyProtection="1">
      <alignment horizontal="center"/>
    </xf>
    <xf numFmtId="3" fontId="0" fillId="0" borderId="1" xfId="0" applyNumberFormat="1" applyFont="1" applyBorder="1" applyAlignment="1" applyProtection="1">
      <alignment horizontal="center"/>
    </xf>
    <xf numFmtId="167" fontId="1" fillId="0" borderId="1" xfId="0" applyNumberFormat="1" applyFont="1" applyBorder="1" applyAlignment="1" applyProtection="1">
      <alignment horizontal="left" wrapText="1"/>
    </xf>
    <xf numFmtId="1" fontId="0" fillId="0" borderId="1" xfId="0" applyNumberFormat="1" applyFont="1" applyBorder="1" applyAlignment="1" applyProtection="1">
      <alignment horizontal="left"/>
    </xf>
    <xf numFmtId="168" fontId="0" fillId="0" borderId="1" xfId="0" applyNumberFormat="1" applyFont="1" applyBorder="1" applyAlignment="1" applyProtection="1">
      <alignment horizontal="left"/>
    </xf>
    <xf numFmtId="167" fontId="0" fillId="0" borderId="1" xfId="0" applyNumberFormat="1" applyFont="1" applyBorder="1" applyAlignment="1" applyProtection="1">
      <alignment horizontal="left" wrapText="1"/>
    </xf>
    <xf numFmtId="0" fontId="0" fillId="0" borderId="1" xfId="0" applyFont="1" applyFill="1" applyBorder="1" applyAlignment="1" applyProtection="1">
      <alignment horizontal="center"/>
    </xf>
    <xf numFmtId="2" fontId="0" fillId="0" borderId="1" xfId="0" applyNumberFormat="1" applyFont="1" applyFill="1" applyBorder="1" applyAlignment="1" applyProtection="1">
      <alignment horizontal="center"/>
    </xf>
    <xf numFmtId="167" fontId="0" fillId="0" borderId="1" xfId="0" applyNumberFormat="1" applyFont="1" applyBorder="1" applyAlignment="1" applyProtection="1">
      <alignment horizontal="left"/>
    </xf>
  </cellXfs>
  <cellStyles count="1">
    <cellStyle name="Normal" xfId="0" builtinId="0"/>
  </cellStyles>
  <dxfs count="9">
    <dxf>
      <font>
        <color theme="0"/>
      </font>
    </dxf>
    <dxf>
      <fill>
        <patternFill>
          <bgColor rgb="FFFFFF00"/>
        </patternFill>
      </fill>
    </dxf>
    <dxf>
      <fill>
        <patternFill>
          <bgColor theme="8" tint="-0.24994659260841701"/>
        </patternFill>
      </fill>
    </dxf>
    <dxf>
      <fill>
        <patternFill>
          <bgColor theme="9" tint="-0.24994659260841701"/>
        </patternFill>
      </fill>
    </dxf>
    <dxf>
      <font>
        <color theme="0"/>
      </font>
    </dxf>
    <dxf>
      <fill>
        <patternFill>
          <bgColor rgb="FFFFC000"/>
        </patternFill>
      </fill>
    </dxf>
    <dxf>
      <fill>
        <patternFill>
          <bgColor rgb="FFFFC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I$9" noThreeD="1"/>
</file>

<file path=xl/ctrlProps/ctrlProp10.xml><?xml version="1.0" encoding="utf-8"?>
<formControlPr xmlns="http://schemas.microsoft.com/office/spreadsheetml/2009/9/main" objectType="CheckBox" checked="Checked" fmlaLink="$I$18" noThreeD="1"/>
</file>

<file path=xl/ctrlProps/ctrlProp11.xml><?xml version="1.0" encoding="utf-8"?>
<formControlPr xmlns="http://schemas.microsoft.com/office/spreadsheetml/2009/9/main" objectType="CheckBox" fmlaLink="$I$19" noThreeD="1"/>
</file>

<file path=xl/ctrlProps/ctrlProp12.xml><?xml version="1.0" encoding="utf-8"?>
<formControlPr xmlns="http://schemas.microsoft.com/office/spreadsheetml/2009/9/main" objectType="CheckBox" fmlaLink="$I$20" noThreeD="1"/>
</file>

<file path=xl/ctrlProps/ctrlProp13.xml><?xml version="1.0" encoding="utf-8"?>
<formControlPr xmlns="http://schemas.microsoft.com/office/spreadsheetml/2009/9/main" objectType="CheckBox" checked="Checked" fmlaLink="$I$21" noThreeD="1"/>
</file>

<file path=xl/ctrlProps/ctrlProp14.xml><?xml version="1.0" encoding="utf-8"?>
<formControlPr xmlns="http://schemas.microsoft.com/office/spreadsheetml/2009/9/main" objectType="CheckBox" fmlaLink="$I$22" noThreeD="1"/>
</file>

<file path=xl/ctrlProps/ctrlProp15.xml><?xml version="1.0" encoding="utf-8"?>
<formControlPr xmlns="http://schemas.microsoft.com/office/spreadsheetml/2009/9/main" objectType="CheckBox" fmlaLink="$I$23" noThreeD="1"/>
</file>

<file path=xl/ctrlProps/ctrlProp16.xml><?xml version="1.0" encoding="utf-8"?>
<formControlPr xmlns="http://schemas.microsoft.com/office/spreadsheetml/2009/9/main" objectType="CheckBox" checked="Checked" fmlaLink="$I$24" noThreeD="1"/>
</file>

<file path=xl/ctrlProps/ctrlProp17.xml><?xml version="1.0" encoding="utf-8"?>
<formControlPr xmlns="http://schemas.microsoft.com/office/spreadsheetml/2009/9/main" objectType="CheckBox" fmlaLink="$I$25" noThreeD="1"/>
</file>

<file path=xl/ctrlProps/ctrlProp18.xml><?xml version="1.0" encoding="utf-8"?>
<formControlPr xmlns="http://schemas.microsoft.com/office/spreadsheetml/2009/9/main" objectType="CheckBox" checked="Checked" fmlaLink="$I$26" noThreeD="1"/>
</file>

<file path=xl/ctrlProps/ctrlProp19.xml><?xml version="1.0" encoding="utf-8"?>
<formControlPr xmlns="http://schemas.microsoft.com/office/spreadsheetml/2009/9/main" objectType="CheckBox" checked="Checked" fmlaLink="$I$27" noThreeD="1"/>
</file>

<file path=xl/ctrlProps/ctrlProp2.xml><?xml version="1.0" encoding="utf-8"?>
<formControlPr xmlns="http://schemas.microsoft.com/office/spreadsheetml/2009/9/main" objectType="CheckBox" fmlaLink="$I$10" noThreeD="1"/>
</file>

<file path=xl/ctrlProps/ctrlProp20.xml><?xml version="1.0" encoding="utf-8"?>
<formControlPr xmlns="http://schemas.microsoft.com/office/spreadsheetml/2009/9/main" objectType="CheckBox" fmlaLink="$I$28" noThreeD="1"/>
</file>

<file path=xl/ctrlProps/ctrlProp21.xml><?xml version="1.0" encoding="utf-8"?>
<formControlPr xmlns="http://schemas.microsoft.com/office/spreadsheetml/2009/9/main" objectType="CheckBox" fmlaLink="$I$29" noThreeD="1"/>
</file>

<file path=xl/ctrlProps/ctrlProp22.xml><?xml version="1.0" encoding="utf-8"?>
<formControlPr xmlns="http://schemas.microsoft.com/office/spreadsheetml/2009/9/main" objectType="CheckBox" checked="Checked" fmlaLink="$I$30" noThreeD="1"/>
</file>

<file path=xl/ctrlProps/ctrlProp23.xml><?xml version="1.0" encoding="utf-8"?>
<formControlPr xmlns="http://schemas.microsoft.com/office/spreadsheetml/2009/9/main" objectType="CheckBox" fmlaLink="$I$31" noThreeD="1"/>
</file>

<file path=xl/ctrlProps/ctrlProp24.xml><?xml version="1.0" encoding="utf-8"?>
<formControlPr xmlns="http://schemas.microsoft.com/office/spreadsheetml/2009/9/main" objectType="CheckBox" checked="Checked" fmlaLink="$I$32" noThreeD="1"/>
</file>

<file path=xl/ctrlProps/ctrlProp25.xml><?xml version="1.0" encoding="utf-8"?>
<formControlPr xmlns="http://schemas.microsoft.com/office/spreadsheetml/2009/9/main" objectType="CheckBox" checked="Checked" fmlaLink="$I33" noThreeD="1"/>
</file>

<file path=xl/ctrlProps/ctrlProp26.xml><?xml version="1.0" encoding="utf-8"?>
<formControlPr xmlns="http://schemas.microsoft.com/office/spreadsheetml/2009/9/main" objectType="CheckBox" fmlaLink="$I$34" noThreeD="1"/>
</file>

<file path=xl/ctrlProps/ctrlProp27.xml><?xml version="1.0" encoding="utf-8"?>
<formControlPr xmlns="http://schemas.microsoft.com/office/spreadsheetml/2009/9/main" objectType="CheckBox" checked="Checked" fmlaLink="$I35" noThreeD="1"/>
</file>

<file path=xl/ctrlProps/ctrlProp28.xml><?xml version="1.0" encoding="utf-8"?>
<formControlPr xmlns="http://schemas.microsoft.com/office/spreadsheetml/2009/9/main" objectType="CheckBox" fmlaLink="$I36" noThreeD="1"/>
</file>

<file path=xl/ctrlProps/ctrlProp29.xml><?xml version="1.0" encoding="utf-8"?>
<formControlPr xmlns="http://schemas.microsoft.com/office/spreadsheetml/2009/9/main" objectType="CheckBox" checked="Checked" fmlaLink="$I37" noThreeD="1"/>
</file>

<file path=xl/ctrlProps/ctrlProp3.xml><?xml version="1.0" encoding="utf-8"?>
<formControlPr xmlns="http://schemas.microsoft.com/office/spreadsheetml/2009/9/main" objectType="CheckBox" checked="Checked" fmlaLink="$I$11" noThreeD="1"/>
</file>

<file path=xl/ctrlProps/ctrlProp30.xml><?xml version="1.0" encoding="utf-8"?>
<formControlPr xmlns="http://schemas.microsoft.com/office/spreadsheetml/2009/9/main" objectType="CheckBox" fmlaLink="$I38" noThreeD="1"/>
</file>

<file path=xl/ctrlProps/ctrlProp31.xml><?xml version="1.0" encoding="utf-8"?>
<formControlPr xmlns="http://schemas.microsoft.com/office/spreadsheetml/2009/9/main" objectType="CheckBox" checked="Checked" fmlaLink="$I39" noThreeD="1"/>
</file>

<file path=xl/ctrlProps/ctrlProp32.xml><?xml version="1.0" encoding="utf-8"?>
<formControlPr xmlns="http://schemas.microsoft.com/office/spreadsheetml/2009/9/main" objectType="CheckBox" checked="Checked" fmlaLink="$I40" noThreeD="1"/>
</file>

<file path=xl/ctrlProps/ctrlProp33.xml><?xml version="1.0" encoding="utf-8"?>
<formControlPr xmlns="http://schemas.microsoft.com/office/spreadsheetml/2009/9/main" objectType="CheckBox" fmlaLink="$I41" noThreeD="1"/>
</file>

<file path=xl/ctrlProps/ctrlProp34.xml><?xml version="1.0" encoding="utf-8"?>
<formControlPr xmlns="http://schemas.microsoft.com/office/spreadsheetml/2009/9/main" objectType="CheckBox" fmlaLink="$I42" noThreeD="1"/>
</file>

<file path=xl/ctrlProps/ctrlProp35.xml><?xml version="1.0" encoding="utf-8"?>
<formControlPr xmlns="http://schemas.microsoft.com/office/spreadsheetml/2009/9/main" objectType="CheckBox" fmlaLink="$I43" noThreeD="1"/>
</file>

<file path=xl/ctrlProps/ctrlProp36.xml><?xml version="1.0" encoding="utf-8"?>
<formControlPr xmlns="http://schemas.microsoft.com/office/spreadsheetml/2009/9/main" objectType="CheckBox" checked="Checked" fmlaLink="$I44" noThreeD="1"/>
</file>

<file path=xl/ctrlProps/ctrlProp37.xml><?xml version="1.0" encoding="utf-8"?>
<formControlPr xmlns="http://schemas.microsoft.com/office/spreadsheetml/2009/9/main" objectType="CheckBox" fmlaLink="$I45" noThreeD="1"/>
</file>

<file path=xl/ctrlProps/ctrlProp38.xml><?xml version="1.0" encoding="utf-8"?>
<formControlPr xmlns="http://schemas.microsoft.com/office/spreadsheetml/2009/9/main" objectType="CheckBox" checked="Checked" fmlaLink="$I46" noThreeD="1"/>
</file>

<file path=xl/ctrlProps/ctrlProp39.xml><?xml version="1.0" encoding="utf-8"?>
<formControlPr xmlns="http://schemas.microsoft.com/office/spreadsheetml/2009/9/main" objectType="CheckBox" fmlaLink="$I47" noThreeD="1"/>
</file>

<file path=xl/ctrlProps/ctrlProp4.xml><?xml version="1.0" encoding="utf-8"?>
<formControlPr xmlns="http://schemas.microsoft.com/office/spreadsheetml/2009/9/main" objectType="CheckBox" fmlaLink="$I$12" noThreeD="1"/>
</file>

<file path=xl/ctrlProps/ctrlProp40.xml><?xml version="1.0" encoding="utf-8"?>
<formControlPr xmlns="http://schemas.microsoft.com/office/spreadsheetml/2009/9/main" objectType="CheckBox" checked="Checked" fmlaLink="$I48" noThreeD="1"/>
</file>

<file path=xl/ctrlProps/ctrlProp41.xml><?xml version="1.0" encoding="utf-8"?>
<formControlPr xmlns="http://schemas.microsoft.com/office/spreadsheetml/2009/9/main" objectType="CheckBox" fmlaLink="$I49" noThreeD="1"/>
</file>

<file path=xl/ctrlProps/ctrlProp42.xml><?xml version="1.0" encoding="utf-8"?>
<formControlPr xmlns="http://schemas.microsoft.com/office/spreadsheetml/2009/9/main" objectType="CheckBox" checked="Checked" fmlaLink="$I50" noThreeD="1"/>
</file>

<file path=xl/ctrlProps/ctrlProp43.xml><?xml version="1.0" encoding="utf-8"?>
<formControlPr xmlns="http://schemas.microsoft.com/office/spreadsheetml/2009/9/main" objectType="CheckBox" fmlaLink="$I51" noThreeD="1"/>
</file>

<file path=xl/ctrlProps/ctrlProp44.xml><?xml version="1.0" encoding="utf-8"?>
<formControlPr xmlns="http://schemas.microsoft.com/office/spreadsheetml/2009/9/main" objectType="CheckBox" checked="Checked" fmlaLink="$I52" noThreeD="1"/>
</file>

<file path=xl/ctrlProps/ctrlProp45.xml><?xml version="1.0" encoding="utf-8"?>
<formControlPr xmlns="http://schemas.microsoft.com/office/spreadsheetml/2009/9/main" objectType="CheckBox" fmlaLink="$I53" noThreeD="1"/>
</file>

<file path=xl/ctrlProps/ctrlProp46.xml><?xml version="1.0" encoding="utf-8"?>
<formControlPr xmlns="http://schemas.microsoft.com/office/spreadsheetml/2009/9/main" objectType="CheckBox" fmlaLink="$I54" noThreeD="1"/>
</file>

<file path=xl/ctrlProps/ctrlProp47.xml><?xml version="1.0" encoding="utf-8"?>
<formControlPr xmlns="http://schemas.microsoft.com/office/spreadsheetml/2009/9/main" objectType="CheckBox" checked="Checked" fmlaLink="$I55" noThreeD="1"/>
</file>

<file path=xl/ctrlProps/ctrlProp48.xml><?xml version="1.0" encoding="utf-8"?>
<formControlPr xmlns="http://schemas.microsoft.com/office/spreadsheetml/2009/9/main" objectType="CheckBox" fmlaLink="$I56" noThreeD="1"/>
</file>

<file path=xl/ctrlProps/ctrlProp49.xml><?xml version="1.0" encoding="utf-8"?>
<formControlPr xmlns="http://schemas.microsoft.com/office/spreadsheetml/2009/9/main" objectType="CheckBox" fmlaLink="$I57" noThreeD="1"/>
</file>

<file path=xl/ctrlProps/ctrlProp5.xml><?xml version="1.0" encoding="utf-8"?>
<formControlPr xmlns="http://schemas.microsoft.com/office/spreadsheetml/2009/9/main" objectType="CheckBox" checked="Checked" fmlaLink="$I$13" noThreeD="1"/>
</file>

<file path=xl/ctrlProps/ctrlProp50.xml><?xml version="1.0" encoding="utf-8"?>
<formControlPr xmlns="http://schemas.microsoft.com/office/spreadsheetml/2009/9/main" objectType="CheckBox" checked="Checked" fmlaLink="$I58" noThreeD="1"/>
</file>

<file path=xl/ctrlProps/ctrlProp51.xml><?xml version="1.0" encoding="utf-8"?>
<formControlPr xmlns="http://schemas.microsoft.com/office/spreadsheetml/2009/9/main" objectType="CheckBox" fmlaLink="$I59" noThreeD="1"/>
</file>

<file path=xl/ctrlProps/ctrlProp52.xml><?xml version="1.0" encoding="utf-8"?>
<formControlPr xmlns="http://schemas.microsoft.com/office/spreadsheetml/2009/9/main" objectType="CheckBox" checked="Checked" fmlaLink="$I60" noThreeD="1"/>
</file>

<file path=xl/ctrlProps/ctrlProp53.xml><?xml version="1.0" encoding="utf-8"?>
<formControlPr xmlns="http://schemas.microsoft.com/office/spreadsheetml/2009/9/main" objectType="CheckBox" fmlaLink="$I61" noThreeD="1"/>
</file>

<file path=xl/ctrlProps/ctrlProp54.xml><?xml version="1.0" encoding="utf-8"?>
<formControlPr xmlns="http://schemas.microsoft.com/office/spreadsheetml/2009/9/main" objectType="CheckBox" fmlaLink="$I62" noThreeD="1"/>
</file>

<file path=xl/ctrlProps/ctrlProp55.xml><?xml version="1.0" encoding="utf-8"?>
<formControlPr xmlns="http://schemas.microsoft.com/office/spreadsheetml/2009/9/main" objectType="CheckBox" checked="Checked" fmlaLink="$I63" noThreeD="1"/>
</file>

<file path=xl/ctrlProps/ctrlProp56.xml><?xml version="1.0" encoding="utf-8"?>
<formControlPr xmlns="http://schemas.microsoft.com/office/spreadsheetml/2009/9/main" objectType="CheckBox" fmlaLink="$I64" noThreeD="1"/>
</file>

<file path=xl/ctrlProps/ctrlProp57.xml><?xml version="1.0" encoding="utf-8"?>
<formControlPr xmlns="http://schemas.microsoft.com/office/spreadsheetml/2009/9/main" objectType="CheckBox" fmlaLink="$I65" noThreeD="1"/>
</file>

<file path=xl/ctrlProps/ctrlProp58.xml><?xml version="1.0" encoding="utf-8"?>
<formControlPr xmlns="http://schemas.microsoft.com/office/spreadsheetml/2009/9/main" objectType="CheckBox" checked="Checked" fmlaLink="$I66" noThreeD="1"/>
</file>

<file path=xl/ctrlProps/ctrlProp59.xml><?xml version="1.0" encoding="utf-8"?>
<formControlPr xmlns="http://schemas.microsoft.com/office/spreadsheetml/2009/9/main" objectType="CheckBox" fmlaLink="$I67" noThreeD="1"/>
</file>

<file path=xl/ctrlProps/ctrlProp6.xml><?xml version="1.0" encoding="utf-8"?>
<formControlPr xmlns="http://schemas.microsoft.com/office/spreadsheetml/2009/9/main" objectType="CheckBox" checked="Checked" fmlaLink="$I$14" noThreeD="1"/>
</file>

<file path=xl/ctrlProps/ctrlProp60.xml><?xml version="1.0" encoding="utf-8"?>
<formControlPr xmlns="http://schemas.microsoft.com/office/spreadsheetml/2009/9/main" objectType="CheckBox" checked="Checked" fmlaLink="$I68" noThreeD="1"/>
</file>

<file path=xl/ctrlProps/ctrlProp61.xml><?xml version="1.0" encoding="utf-8"?>
<formControlPr xmlns="http://schemas.microsoft.com/office/spreadsheetml/2009/9/main" objectType="CheckBox" checked="Checked" fmlaLink="$I69" noThreeD="1"/>
</file>

<file path=xl/ctrlProps/ctrlProp62.xml><?xml version="1.0" encoding="utf-8"?>
<formControlPr xmlns="http://schemas.microsoft.com/office/spreadsheetml/2009/9/main" objectType="CheckBox" fmlaLink="$I70" noThreeD="1"/>
</file>

<file path=xl/ctrlProps/ctrlProp63.xml><?xml version="1.0" encoding="utf-8"?>
<formControlPr xmlns="http://schemas.microsoft.com/office/spreadsheetml/2009/9/main" objectType="CheckBox" checked="Checked" fmlaLink="$I71" noThreeD="1"/>
</file>

<file path=xl/ctrlProps/ctrlProp64.xml><?xml version="1.0" encoding="utf-8"?>
<formControlPr xmlns="http://schemas.microsoft.com/office/spreadsheetml/2009/9/main" objectType="CheckBox" checked="Checked" fmlaLink="$I72" noThreeD="1"/>
</file>

<file path=xl/ctrlProps/ctrlProp65.xml><?xml version="1.0" encoding="utf-8"?>
<formControlPr xmlns="http://schemas.microsoft.com/office/spreadsheetml/2009/9/main" objectType="CheckBox" checked="Checked" fmlaLink="$I73" noThreeD="1"/>
</file>

<file path=xl/ctrlProps/ctrlProp66.xml><?xml version="1.0" encoding="utf-8"?>
<formControlPr xmlns="http://schemas.microsoft.com/office/spreadsheetml/2009/9/main" objectType="CheckBox" fmlaLink="$I74" noThreeD="1"/>
</file>

<file path=xl/ctrlProps/ctrlProp67.xml><?xml version="1.0" encoding="utf-8"?>
<formControlPr xmlns="http://schemas.microsoft.com/office/spreadsheetml/2009/9/main" objectType="CheckBox" fmlaLink="$I75" noThreeD="1"/>
</file>

<file path=xl/ctrlProps/ctrlProp68.xml><?xml version="1.0" encoding="utf-8"?>
<formControlPr xmlns="http://schemas.microsoft.com/office/spreadsheetml/2009/9/main" objectType="CheckBox" checked="Checked" fmlaLink="$I76" noThreeD="1"/>
</file>

<file path=xl/ctrlProps/ctrlProp7.xml><?xml version="1.0" encoding="utf-8"?>
<formControlPr xmlns="http://schemas.microsoft.com/office/spreadsheetml/2009/9/main" objectType="CheckBox" fmlaLink="$I$15" noThreeD="1"/>
</file>

<file path=xl/ctrlProps/ctrlProp8.xml><?xml version="1.0" encoding="utf-8"?>
<formControlPr xmlns="http://schemas.microsoft.com/office/spreadsheetml/2009/9/main" objectType="CheckBox" checked="Checked" fmlaLink="$I$16" noThreeD="1"/>
</file>

<file path=xl/ctrlProps/ctrlProp9.xml><?xml version="1.0" encoding="utf-8"?>
<formControlPr xmlns="http://schemas.microsoft.com/office/spreadsheetml/2009/9/main" objectType="CheckBox" fmlaLink="$I$1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8</xdr:row>
          <xdr:rowOff>9525</xdr:rowOff>
        </xdr:from>
        <xdr:to>
          <xdr:col>7</xdr:col>
          <xdr:colOff>390525</xdr:colOff>
          <xdr:row>9</xdr:row>
          <xdr:rowOff>28575</xdr:rowOff>
        </xdr:to>
        <xdr:sp macro="" textlink="">
          <xdr:nvSpPr>
            <xdr:cNvPr id="1031" name="Case à cocher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390525</xdr:colOff>
          <xdr:row>10</xdr:row>
          <xdr:rowOff>19050</xdr:rowOff>
        </xdr:to>
        <xdr:sp macro="" textlink="">
          <xdr:nvSpPr>
            <xdr:cNvPr id="1032" name="Case à cocher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9525</xdr:rowOff>
        </xdr:from>
        <xdr:to>
          <xdr:col>7</xdr:col>
          <xdr:colOff>390525</xdr:colOff>
          <xdr:row>11</xdr:row>
          <xdr:rowOff>28575</xdr:rowOff>
        </xdr:to>
        <xdr:sp macro="" textlink="">
          <xdr:nvSpPr>
            <xdr:cNvPr id="1033" name="Case à cocher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171450</xdr:rowOff>
        </xdr:from>
        <xdr:to>
          <xdr:col>7</xdr:col>
          <xdr:colOff>390525</xdr:colOff>
          <xdr:row>11</xdr:row>
          <xdr:rowOff>190500</xdr:rowOff>
        </xdr:to>
        <xdr:sp macro="" textlink="">
          <xdr:nvSpPr>
            <xdr:cNvPr id="1034" name="Case à cocher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171450</xdr:rowOff>
        </xdr:from>
        <xdr:to>
          <xdr:col>7</xdr:col>
          <xdr:colOff>390525</xdr:colOff>
          <xdr:row>12</xdr:row>
          <xdr:rowOff>190500</xdr:rowOff>
        </xdr:to>
        <xdr:sp macro="" textlink="">
          <xdr:nvSpPr>
            <xdr:cNvPr id="1035" name="Case à cocher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180975</xdr:rowOff>
        </xdr:from>
        <xdr:to>
          <xdr:col>7</xdr:col>
          <xdr:colOff>390525</xdr:colOff>
          <xdr:row>14</xdr:row>
          <xdr:rowOff>0</xdr:rowOff>
        </xdr:to>
        <xdr:sp macro="" textlink="">
          <xdr:nvSpPr>
            <xdr:cNvPr id="1038" name="Case à cocher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180975</xdr:rowOff>
        </xdr:from>
        <xdr:to>
          <xdr:col>7</xdr:col>
          <xdr:colOff>390525</xdr:colOff>
          <xdr:row>15</xdr:row>
          <xdr:rowOff>0</xdr:rowOff>
        </xdr:to>
        <xdr:sp macro="" textlink="">
          <xdr:nvSpPr>
            <xdr:cNvPr id="1039" name="Case à cocher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390525</xdr:colOff>
          <xdr:row>16</xdr:row>
          <xdr:rowOff>19050</xdr:rowOff>
        </xdr:to>
        <xdr:sp macro="" textlink="">
          <xdr:nvSpPr>
            <xdr:cNvPr id="1040" name="Case à cocher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190500</xdr:rowOff>
        </xdr:from>
        <xdr:to>
          <xdr:col>7</xdr:col>
          <xdr:colOff>390525</xdr:colOff>
          <xdr:row>17</xdr:row>
          <xdr:rowOff>9525</xdr:rowOff>
        </xdr:to>
        <xdr:sp macro="" textlink="">
          <xdr:nvSpPr>
            <xdr:cNvPr id="1041" name="Case à cocher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161925</xdr:rowOff>
        </xdr:from>
        <xdr:to>
          <xdr:col>7</xdr:col>
          <xdr:colOff>390525</xdr:colOff>
          <xdr:row>17</xdr:row>
          <xdr:rowOff>180975</xdr:rowOff>
        </xdr:to>
        <xdr:sp macro="" textlink="">
          <xdr:nvSpPr>
            <xdr:cNvPr id="1042" name="Case à cocher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171450</xdr:rowOff>
        </xdr:from>
        <xdr:to>
          <xdr:col>7</xdr:col>
          <xdr:colOff>390525</xdr:colOff>
          <xdr:row>18</xdr:row>
          <xdr:rowOff>190500</xdr:rowOff>
        </xdr:to>
        <xdr:sp macro="" textlink="">
          <xdr:nvSpPr>
            <xdr:cNvPr id="1043" name="Case à cocher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180975</xdr:rowOff>
        </xdr:from>
        <xdr:to>
          <xdr:col>7</xdr:col>
          <xdr:colOff>390525</xdr:colOff>
          <xdr:row>20</xdr:row>
          <xdr:rowOff>0</xdr:rowOff>
        </xdr:to>
        <xdr:sp macro="" textlink="">
          <xdr:nvSpPr>
            <xdr:cNvPr id="1044" name="Case à cocher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171450</xdr:rowOff>
        </xdr:from>
        <xdr:to>
          <xdr:col>7</xdr:col>
          <xdr:colOff>390525</xdr:colOff>
          <xdr:row>20</xdr:row>
          <xdr:rowOff>190500</xdr:rowOff>
        </xdr:to>
        <xdr:sp macro="" textlink="">
          <xdr:nvSpPr>
            <xdr:cNvPr id="1045" name="Case à cocher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180975</xdr:rowOff>
        </xdr:from>
        <xdr:to>
          <xdr:col>7</xdr:col>
          <xdr:colOff>390525</xdr:colOff>
          <xdr:row>22</xdr:row>
          <xdr:rowOff>0</xdr:rowOff>
        </xdr:to>
        <xdr:sp macro="" textlink="">
          <xdr:nvSpPr>
            <xdr:cNvPr id="1046" name="Case à cocher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171450</xdr:rowOff>
        </xdr:from>
        <xdr:to>
          <xdr:col>7</xdr:col>
          <xdr:colOff>390525</xdr:colOff>
          <xdr:row>22</xdr:row>
          <xdr:rowOff>190500</xdr:rowOff>
        </xdr:to>
        <xdr:sp macro="" textlink="">
          <xdr:nvSpPr>
            <xdr:cNvPr id="1047" name="Case à cocher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180975</xdr:rowOff>
        </xdr:from>
        <xdr:to>
          <xdr:col>7</xdr:col>
          <xdr:colOff>390525</xdr:colOff>
          <xdr:row>24</xdr:row>
          <xdr:rowOff>0</xdr:rowOff>
        </xdr:to>
        <xdr:sp macro="" textlink="">
          <xdr:nvSpPr>
            <xdr:cNvPr id="1048" name="Case à cocher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23</xdr:row>
          <xdr:rowOff>190500</xdr:rowOff>
        </xdr:from>
        <xdr:to>
          <xdr:col>7</xdr:col>
          <xdr:colOff>400050</xdr:colOff>
          <xdr:row>25</xdr:row>
          <xdr:rowOff>9525</xdr:rowOff>
        </xdr:to>
        <xdr:sp macro="" textlink="">
          <xdr:nvSpPr>
            <xdr:cNvPr id="1049" name="Case à cocher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190500</xdr:rowOff>
        </xdr:from>
        <xdr:to>
          <xdr:col>7</xdr:col>
          <xdr:colOff>390525</xdr:colOff>
          <xdr:row>26</xdr:row>
          <xdr:rowOff>9525</xdr:rowOff>
        </xdr:to>
        <xdr:sp macro="" textlink="">
          <xdr:nvSpPr>
            <xdr:cNvPr id="1050" name="Case à cocher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190500</xdr:rowOff>
        </xdr:from>
        <xdr:to>
          <xdr:col>7</xdr:col>
          <xdr:colOff>390525</xdr:colOff>
          <xdr:row>27</xdr:row>
          <xdr:rowOff>9525</xdr:rowOff>
        </xdr:to>
        <xdr:sp macro="" textlink="">
          <xdr:nvSpPr>
            <xdr:cNvPr id="1051" name="Case à cocher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180975</xdr:rowOff>
        </xdr:from>
        <xdr:to>
          <xdr:col>7</xdr:col>
          <xdr:colOff>381000</xdr:colOff>
          <xdr:row>28</xdr:row>
          <xdr:rowOff>0</xdr:rowOff>
        </xdr:to>
        <xdr:sp macro="" textlink="">
          <xdr:nvSpPr>
            <xdr:cNvPr id="1052" name="Case à cocher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190500</xdr:rowOff>
        </xdr:from>
        <xdr:to>
          <xdr:col>7</xdr:col>
          <xdr:colOff>381000</xdr:colOff>
          <xdr:row>29</xdr:row>
          <xdr:rowOff>9525</xdr:rowOff>
        </xdr:to>
        <xdr:sp macro="" textlink="">
          <xdr:nvSpPr>
            <xdr:cNvPr id="1053" name="Case à cocher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171450</xdr:rowOff>
        </xdr:from>
        <xdr:to>
          <xdr:col>7</xdr:col>
          <xdr:colOff>390525</xdr:colOff>
          <xdr:row>29</xdr:row>
          <xdr:rowOff>190500</xdr:rowOff>
        </xdr:to>
        <xdr:sp macro="" textlink="">
          <xdr:nvSpPr>
            <xdr:cNvPr id="1054" name="Case à cocher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29</xdr:row>
          <xdr:rowOff>180975</xdr:rowOff>
        </xdr:from>
        <xdr:to>
          <xdr:col>7</xdr:col>
          <xdr:colOff>381000</xdr:colOff>
          <xdr:row>31</xdr:row>
          <xdr:rowOff>0</xdr:rowOff>
        </xdr:to>
        <xdr:sp macro="" textlink="">
          <xdr:nvSpPr>
            <xdr:cNvPr id="1055" name="Case à cocher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180975</xdr:rowOff>
        </xdr:from>
        <xdr:to>
          <xdr:col>7</xdr:col>
          <xdr:colOff>390525</xdr:colOff>
          <xdr:row>32</xdr:row>
          <xdr:rowOff>0</xdr:rowOff>
        </xdr:to>
        <xdr:sp macro="" textlink="">
          <xdr:nvSpPr>
            <xdr:cNvPr id="1056" name="Case à cocher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31</xdr:row>
          <xdr:rowOff>180975</xdr:rowOff>
        </xdr:from>
        <xdr:to>
          <xdr:col>7</xdr:col>
          <xdr:colOff>381000</xdr:colOff>
          <xdr:row>33</xdr:row>
          <xdr:rowOff>0</xdr:rowOff>
        </xdr:to>
        <xdr:sp macro="" textlink="">
          <xdr:nvSpPr>
            <xdr:cNvPr id="1059" name="Case à cocher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180975</xdr:rowOff>
        </xdr:from>
        <xdr:to>
          <xdr:col>7</xdr:col>
          <xdr:colOff>390525</xdr:colOff>
          <xdr:row>34</xdr:row>
          <xdr:rowOff>0</xdr:rowOff>
        </xdr:to>
        <xdr:sp macro="" textlink="">
          <xdr:nvSpPr>
            <xdr:cNvPr id="1060" name="Case à cocher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180975</xdr:rowOff>
        </xdr:from>
        <xdr:to>
          <xdr:col>7</xdr:col>
          <xdr:colOff>390525</xdr:colOff>
          <xdr:row>35</xdr:row>
          <xdr:rowOff>0</xdr:rowOff>
        </xdr:to>
        <xdr:sp macro="" textlink="">
          <xdr:nvSpPr>
            <xdr:cNvPr id="1105" name="Case à cocher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171450</xdr:rowOff>
        </xdr:from>
        <xdr:to>
          <xdr:col>7</xdr:col>
          <xdr:colOff>381000</xdr:colOff>
          <xdr:row>35</xdr:row>
          <xdr:rowOff>190500</xdr:rowOff>
        </xdr:to>
        <xdr:sp macro="" textlink="">
          <xdr:nvSpPr>
            <xdr:cNvPr id="1107" name="Case à cocher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35</xdr:row>
          <xdr:rowOff>180975</xdr:rowOff>
        </xdr:from>
        <xdr:to>
          <xdr:col>7</xdr:col>
          <xdr:colOff>371475</xdr:colOff>
          <xdr:row>37</xdr:row>
          <xdr:rowOff>0</xdr:rowOff>
        </xdr:to>
        <xdr:sp macro="" textlink="">
          <xdr:nvSpPr>
            <xdr:cNvPr id="1109" name="Case à cocher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37</xdr:row>
          <xdr:rowOff>9525</xdr:rowOff>
        </xdr:from>
        <xdr:to>
          <xdr:col>7</xdr:col>
          <xdr:colOff>409575</xdr:colOff>
          <xdr:row>38</xdr:row>
          <xdr:rowOff>28575</xdr:rowOff>
        </xdr:to>
        <xdr:sp macro="" textlink="">
          <xdr:nvSpPr>
            <xdr:cNvPr id="1111" name="Case à cocher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37</xdr:row>
          <xdr:rowOff>171450</xdr:rowOff>
        </xdr:from>
        <xdr:to>
          <xdr:col>7</xdr:col>
          <xdr:colOff>400050</xdr:colOff>
          <xdr:row>38</xdr:row>
          <xdr:rowOff>190500</xdr:rowOff>
        </xdr:to>
        <xdr:sp macro="" textlink="">
          <xdr:nvSpPr>
            <xdr:cNvPr id="1113" name="Case à cocher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171450</xdr:rowOff>
        </xdr:from>
        <xdr:to>
          <xdr:col>7</xdr:col>
          <xdr:colOff>409575</xdr:colOff>
          <xdr:row>39</xdr:row>
          <xdr:rowOff>190500</xdr:rowOff>
        </xdr:to>
        <xdr:sp macro="" textlink="">
          <xdr:nvSpPr>
            <xdr:cNvPr id="1115" name="Case à cocher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39</xdr:row>
          <xdr:rowOff>171450</xdr:rowOff>
        </xdr:from>
        <xdr:to>
          <xdr:col>7</xdr:col>
          <xdr:colOff>409575</xdr:colOff>
          <xdr:row>40</xdr:row>
          <xdr:rowOff>190500</xdr:rowOff>
        </xdr:to>
        <xdr:sp macro="" textlink="">
          <xdr:nvSpPr>
            <xdr:cNvPr id="1117" name="Case à cocher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40</xdr:row>
          <xdr:rowOff>171450</xdr:rowOff>
        </xdr:from>
        <xdr:to>
          <xdr:col>7</xdr:col>
          <xdr:colOff>400050</xdr:colOff>
          <xdr:row>41</xdr:row>
          <xdr:rowOff>190500</xdr:rowOff>
        </xdr:to>
        <xdr:sp macro="" textlink="">
          <xdr:nvSpPr>
            <xdr:cNvPr id="1119" name="Case à cocher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41</xdr:row>
          <xdr:rowOff>171450</xdr:rowOff>
        </xdr:from>
        <xdr:to>
          <xdr:col>7</xdr:col>
          <xdr:colOff>400050</xdr:colOff>
          <xdr:row>42</xdr:row>
          <xdr:rowOff>190500</xdr:rowOff>
        </xdr:to>
        <xdr:sp macro="" textlink="">
          <xdr:nvSpPr>
            <xdr:cNvPr id="1121" name="Case à cocher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42</xdr:row>
          <xdr:rowOff>171450</xdr:rowOff>
        </xdr:from>
        <xdr:to>
          <xdr:col>7</xdr:col>
          <xdr:colOff>400050</xdr:colOff>
          <xdr:row>43</xdr:row>
          <xdr:rowOff>190500</xdr:rowOff>
        </xdr:to>
        <xdr:sp macro="" textlink="">
          <xdr:nvSpPr>
            <xdr:cNvPr id="1123" name="Case à cocher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43</xdr:row>
          <xdr:rowOff>171450</xdr:rowOff>
        </xdr:from>
        <xdr:to>
          <xdr:col>7</xdr:col>
          <xdr:colOff>390525</xdr:colOff>
          <xdr:row>44</xdr:row>
          <xdr:rowOff>190500</xdr:rowOff>
        </xdr:to>
        <xdr:sp macro="" textlink="">
          <xdr:nvSpPr>
            <xdr:cNvPr id="1125" name="Case à cocher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44</xdr:row>
          <xdr:rowOff>171450</xdr:rowOff>
        </xdr:from>
        <xdr:to>
          <xdr:col>7</xdr:col>
          <xdr:colOff>390525</xdr:colOff>
          <xdr:row>45</xdr:row>
          <xdr:rowOff>190500</xdr:rowOff>
        </xdr:to>
        <xdr:sp macro="" textlink="">
          <xdr:nvSpPr>
            <xdr:cNvPr id="1127" name="Case à cocher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45</xdr:row>
          <xdr:rowOff>171450</xdr:rowOff>
        </xdr:from>
        <xdr:to>
          <xdr:col>7</xdr:col>
          <xdr:colOff>390525</xdr:colOff>
          <xdr:row>46</xdr:row>
          <xdr:rowOff>190500</xdr:rowOff>
        </xdr:to>
        <xdr:sp macro="" textlink="">
          <xdr:nvSpPr>
            <xdr:cNvPr id="1129" name="Case à cocher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46</xdr:row>
          <xdr:rowOff>171450</xdr:rowOff>
        </xdr:from>
        <xdr:to>
          <xdr:col>7</xdr:col>
          <xdr:colOff>390525</xdr:colOff>
          <xdr:row>47</xdr:row>
          <xdr:rowOff>190500</xdr:rowOff>
        </xdr:to>
        <xdr:sp macro="" textlink="">
          <xdr:nvSpPr>
            <xdr:cNvPr id="1131" name="Case à cocher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47</xdr:row>
          <xdr:rowOff>171450</xdr:rowOff>
        </xdr:from>
        <xdr:to>
          <xdr:col>7</xdr:col>
          <xdr:colOff>390525</xdr:colOff>
          <xdr:row>48</xdr:row>
          <xdr:rowOff>190500</xdr:rowOff>
        </xdr:to>
        <xdr:sp macro="" textlink="">
          <xdr:nvSpPr>
            <xdr:cNvPr id="1133" name="Case à cocher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171450</xdr:rowOff>
        </xdr:from>
        <xdr:to>
          <xdr:col>7</xdr:col>
          <xdr:colOff>381000</xdr:colOff>
          <xdr:row>49</xdr:row>
          <xdr:rowOff>190500</xdr:rowOff>
        </xdr:to>
        <xdr:sp macro="" textlink="">
          <xdr:nvSpPr>
            <xdr:cNvPr id="1135" name="Case à cocher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0</xdr:rowOff>
        </xdr:from>
        <xdr:to>
          <xdr:col>7</xdr:col>
          <xdr:colOff>371475</xdr:colOff>
          <xdr:row>51</xdr:row>
          <xdr:rowOff>19050</xdr:rowOff>
        </xdr:to>
        <xdr:sp macro="" textlink="">
          <xdr:nvSpPr>
            <xdr:cNvPr id="1137" name="Case à cocher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51</xdr:row>
          <xdr:rowOff>0</xdr:rowOff>
        </xdr:from>
        <xdr:to>
          <xdr:col>7</xdr:col>
          <xdr:colOff>371475</xdr:colOff>
          <xdr:row>52</xdr:row>
          <xdr:rowOff>19050</xdr:rowOff>
        </xdr:to>
        <xdr:sp macro="" textlink="">
          <xdr:nvSpPr>
            <xdr:cNvPr id="1139" name="Case à cocher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0</xdr:rowOff>
        </xdr:from>
        <xdr:to>
          <xdr:col>7</xdr:col>
          <xdr:colOff>371475</xdr:colOff>
          <xdr:row>53</xdr:row>
          <xdr:rowOff>19050</xdr:rowOff>
        </xdr:to>
        <xdr:sp macro="" textlink="">
          <xdr:nvSpPr>
            <xdr:cNvPr id="1141" name="Case à cocher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53</xdr:row>
          <xdr:rowOff>0</xdr:rowOff>
        </xdr:from>
        <xdr:to>
          <xdr:col>7</xdr:col>
          <xdr:colOff>371475</xdr:colOff>
          <xdr:row>54</xdr:row>
          <xdr:rowOff>19050</xdr:rowOff>
        </xdr:to>
        <xdr:sp macro="" textlink="">
          <xdr:nvSpPr>
            <xdr:cNvPr id="1143" name="Case à cocher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0</xdr:rowOff>
        </xdr:from>
        <xdr:to>
          <xdr:col>7</xdr:col>
          <xdr:colOff>371475</xdr:colOff>
          <xdr:row>55</xdr:row>
          <xdr:rowOff>19050</xdr:rowOff>
        </xdr:to>
        <xdr:sp macro="" textlink="">
          <xdr:nvSpPr>
            <xdr:cNvPr id="1145" name="Case à cocher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55</xdr:row>
          <xdr:rowOff>0</xdr:rowOff>
        </xdr:from>
        <xdr:to>
          <xdr:col>7</xdr:col>
          <xdr:colOff>371475</xdr:colOff>
          <xdr:row>56</xdr:row>
          <xdr:rowOff>19050</xdr:rowOff>
        </xdr:to>
        <xdr:sp macro="" textlink="">
          <xdr:nvSpPr>
            <xdr:cNvPr id="1147" name="Case à cocher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56</xdr:row>
          <xdr:rowOff>0</xdr:rowOff>
        </xdr:from>
        <xdr:to>
          <xdr:col>7</xdr:col>
          <xdr:colOff>371475</xdr:colOff>
          <xdr:row>57</xdr:row>
          <xdr:rowOff>19050</xdr:rowOff>
        </xdr:to>
        <xdr:sp macro="" textlink="">
          <xdr:nvSpPr>
            <xdr:cNvPr id="1149" name="Case à cocher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57</xdr:row>
          <xdr:rowOff>0</xdr:rowOff>
        </xdr:from>
        <xdr:to>
          <xdr:col>7</xdr:col>
          <xdr:colOff>371475</xdr:colOff>
          <xdr:row>58</xdr:row>
          <xdr:rowOff>19050</xdr:rowOff>
        </xdr:to>
        <xdr:sp macro="" textlink="">
          <xdr:nvSpPr>
            <xdr:cNvPr id="1151" name="Case à cocher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58</xdr:row>
          <xdr:rowOff>0</xdr:rowOff>
        </xdr:from>
        <xdr:to>
          <xdr:col>7</xdr:col>
          <xdr:colOff>371475</xdr:colOff>
          <xdr:row>59</xdr:row>
          <xdr:rowOff>19050</xdr:rowOff>
        </xdr:to>
        <xdr:sp macro="" textlink="">
          <xdr:nvSpPr>
            <xdr:cNvPr id="1153" name="Case à cocher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59</xdr:row>
          <xdr:rowOff>0</xdr:rowOff>
        </xdr:from>
        <xdr:to>
          <xdr:col>7</xdr:col>
          <xdr:colOff>371475</xdr:colOff>
          <xdr:row>60</xdr:row>
          <xdr:rowOff>19050</xdr:rowOff>
        </xdr:to>
        <xdr:sp macro="" textlink="">
          <xdr:nvSpPr>
            <xdr:cNvPr id="1155" name="Case à cocher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60</xdr:row>
          <xdr:rowOff>0</xdr:rowOff>
        </xdr:from>
        <xdr:to>
          <xdr:col>7</xdr:col>
          <xdr:colOff>371475</xdr:colOff>
          <xdr:row>61</xdr:row>
          <xdr:rowOff>19050</xdr:rowOff>
        </xdr:to>
        <xdr:sp macro="" textlink="">
          <xdr:nvSpPr>
            <xdr:cNvPr id="1157" name="Case à cocher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61</xdr:row>
          <xdr:rowOff>0</xdr:rowOff>
        </xdr:from>
        <xdr:to>
          <xdr:col>7</xdr:col>
          <xdr:colOff>371475</xdr:colOff>
          <xdr:row>62</xdr:row>
          <xdr:rowOff>19050</xdr:rowOff>
        </xdr:to>
        <xdr:sp macro="" textlink="">
          <xdr:nvSpPr>
            <xdr:cNvPr id="1159" name="Case à cocher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62</xdr:row>
          <xdr:rowOff>0</xdr:rowOff>
        </xdr:from>
        <xdr:to>
          <xdr:col>7</xdr:col>
          <xdr:colOff>371475</xdr:colOff>
          <xdr:row>63</xdr:row>
          <xdr:rowOff>19050</xdr:rowOff>
        </xdr:to>
        <xdr:sp macro="" textlink="">
          <xdr:nvSpPr>
            <xdr:cNvPr id="1161" name="Case à cocher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63</xdr:row>
          <xdr:rowOff>0</xdr:rowOff>
        </xdr:from>
        <xdr:to>
          <xdr:col>7</xdr:col>
          <xdr:colOff>371475</xdr:colOff>
          <xdr:row>64</xdr:row>
          <xdr:rowOff>19050</xdr:rowOff>
        </xdr:to>
        <xdr:sp macro="" textlink="">
          <xdr:nvSpPr>
            <xdr:cNvPr id="1163" name="Case à cocher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63</xdr:row>
          <xdr:rowOff>180975</xdr:rowOff>
        </xdr:from>
        <xdr:to>
          <xdr:col>7</xdr:col>
          <xdr:colOff>371475</xdr:colOff>
          <xdr:row>65</xdr:row>
          <xdr:rowOff>0</xdr:rowOff>
        </xdr:to>
        <xdr:sp macro="" textlink="">
          <xdr:nvSpPr>
            <xdr:cNvPr id="1165" name="Case à cocher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64</xdr:row>
          <xdr:rowOff>180975</xdr:rowOff>
        </xdr:from>
        <xdr:to>
          <xdr:col>7</xdr:col>
          <xdr:colOff>371475</xdr:colOff>
          <xdr:row>66</xdr:row>
          <xdr:rowOff>0</xdr:rowOff>
        </xdr:to>
        <xdr:sp macro="" textlink="">
          <xdr:nvSpPr>
            <xdr:cNvPr id="1167" name="Case à cocher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65</xdr:row>
          <xdr:rowOff>180975</xdr:rowOff>
        </xdr:from>
        <xdr:to>
          <xdr:col>7</xdr:col>
          <xdr:colOff>371475</xdr:colOff>
          <xdr:row>67</xdr:row>
          <xdr:rowOff>0</xdr:rowOff>
        </xdr:to>
        <xdr:sp macro="" textlink="">
          <xdr:nvSpPr>
            <xdr:cNvPr id="1169" name="Case à cocher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66</xdr:row>
          <xdr:rowOff>180975</xdr:rowOff>
        </xdr:from>
        <xdr:to>
          <xdr:col>7</xdr:col>
          <xdr:colOff>371475</xdr:colOff>
          <xdr:row>68</xdr:row>
          <xdr:rowOff>0</xdr:rowOff>
        </xdr:to>
        <xdr:sp macro="" textlink="">
          <xdr:nvSpPr>
            <xdr:cNvPr id="1171" name="Case à cocher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67</xdr:row>
          <xdr:rowOff>180975</xdr:rowOff>
        </xdr:from>
        <xdr:to>
          <xdr:col>7</xdr:col>
          <xdr:colOff>371475</xdr:colOff>
          <xdr:row>69</xdr:row>
          <xdr:rowOff>0</xdr:rowOff>
        </xdr:to>
        <xdr:sp macro="" textlink="">
          <xdr:nvSpPr>
            <xdr:cNvPr id="1173" name="Case à cocher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180975</xdr:rowOff>
        </xdr:from>
        <xdr:to>
          <xdr:col>7</xdr:col>
          <xdr:colOff>371475</xdr:colOff>
          <xdr:row>70</xdr:row>
          <xdr:rowOff>0</xdr:rowOff>
        </xdr:to>
        <xdr:sp macro="" textlink="">
          <xdr:nvSpPr>
            <xdr:cNvPr id="1175" name="Case à cocher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69</xdr:row>
          <xdr:rowOff>180975</xdr:rowOff>
        </xdr:from>
        <xdr:to>
          <xdr:col>7</xdr:col>
          <xdr:colOff>371475</xdr:colOff>
          <xdr:row>71</xdr:row>
          <xdr:rowOff>0</xdr:rowOff>
        </xdr:to>
        <xdr:sp macro="" textlink="">
          <xdr:nvSpPr>
            <xdr:cNvPr id="1177" name="Case à cocher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70</xdr:row>
          <xdr:rowOff>180975</xdr:rowOff>
        </xdr:from>
        <xdr:to>
          <xdr:col>7</xdr:col>
          <xdr:colOff>371475</xdr:colOff>
          <xdr:row>72</xdr:row>
          <xdr:rowOff>0</xdr:rowOff>
        </xdr:to>
        <xdr:sp macro="" textlink="">
          <xdr:nvSpPr>
            <xdr:cNvPr id="1179" name="Case à cocher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71</xdr:row>
          <xdr:rowOff>180975</xdr:rowOff>
        </xdr:from>
        <xdr:to>
          <xdr:col>7</xdr:col>
          <xdr:colOff>371475</xdr:colOff>
          <xdr:row>73</xdr:row>
          <xdr:rowOff>0</xdr:rowOff>
        </xdr:to>
        <xdr:sp macro="" textlink="">
          <xdr:nvSpPr>
            <xdr:cNvPr id="1181" name="Case à cocher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180975</xdr:rowOff>
        </xdr:from>
        <xdr:to>
          <xdr:col>7</xdr:col>
          <xdr:colOff>371475</xdr:colOff>
          <xdr:row>74</xdr:row>
          <xdr:rowOff>38100</xdr:rowOff>
        </xdr:to>
        <xdr:sp macro="" textlink="">
          <xdr:nvSpPr>
            <xdr:cNvPr id="1183" name="Case à cocher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73</xdr:row>
          <xdr:rowOff>180975</xdr:rowOff>
        </xdr:from>
        <xdr:to>
          <xdr:col>7</xdr:col>
          <xdr:colOff>371475</xdr:colOff>
          <xdr:row>75</xdr:row>
          <xdr:rowOff>0</xdr:rowOff>
        </xdr:to>
        <xdr:sp macro="" textlink="">
          <xdr:nvSpPr>
            <xdr:cNvPr id="1185" name="Case à cocher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74</xdr:row>
          <xdr:rowOff>180975</xdr:rowOff>
        </xdr:from>
        <xdr:to>
          <xdr:col>7</xdr:col>
          <xdr:colOff>371475</xdr:colOff>
          <xdr:row>76</xdr:row>
          <xdr:rowOff>0</xdr:rowOff>
        </xdr:to>
        <xdr:sp macro="" textlink="">
          <xdr:nvSpPr>
            <xdr:cNvPr id="1187" name="Case à cocher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66675</xdr:rowOff>
    </xdr:from>
    <xdr:to>
      <xdr:col>12</xdr:col>
      <xdr:colOff>733425</xdr:colOff>
      <xdr:row>45</xdr:row>
      <xdr:rowOff>66675</xdr:rowOff>
    </xdr:to>
    <xdr:sp macro="" textlink="">
      <xdr:nvSpPr>
        <xdr:cNvPr id="80" name="ZoneTexte 79">
          <a:extLst>
            <a:ext uri="{FF2B5EF4-FFF2-40B4-BE49-F238E27FC236}">
              <a16:creationId xmlns:a16="http://schemas.microsoft.com/office/drawing/2014/main" id="{00000000-0008-0000-0200-000050000000}"/>
            </a:ext>
          </a:extLst>
        </xdr:cNvPr>
        <xdr:cNvSpPr txBox="1"/>
      </xdr:nvSpPr>
      <xdr:spPr>
        <a:xfrm>
          <a:off x="914400" y="257175"/>
          <a:ext cx="8963025" cy="838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Mode d'emploi de la Feuille de plannification.</a:t>
          </a:r>
        </a:p>
        <a:p>
          <a:endParaRPr lang="fr-FR" sz="1100"/>
        </a:p>
        <a:p>
          <a:r>
            <a:rPr lang="fr-FR" sz="1100"/>
            <a:t>Cette</a:t>
          </a:r>
          <a:r>
            <a:rPr lang="fr-FR" sz="1100" baseline="0"/>
            <a:t> feuille propose 68 étapes possible. Evidemment, vous  n'allez pas toutes les employer.</a:t>
          </a:r>
        </a:p>
        <a:p>
          <a:endParaRPr lang="fr-FR" sz="1100" baseline="0"/>
        </a:p>
        <a:p>
          <a:r>
            <a:rPr lang="fr-FR" sz="1100" b="1" baseline="0"/>
            <a:t>Vous ne devez remplir que les cases dont le fond est vert clair. </a:t>
          </a:r>
        </a:p>
        <a:p>
          <a:r>
            <a:rPr lang="fr-FR" sz="1100" b="0" i="1" baseline="0"/>
            <a:t>(les autres sont automatiques et verrouillées: vous n'y avez pas accès afin de ne pas risquer d'endommager la feuille. Si vous souhaitez avoir la feuille déverrouillée afin de pouvoir la modifer vous-même, à vos risques et périls, écrivez-moi et je vous en enverrai une accessible)</a:t>
          </a:r>
        </a:p>
        <a:p>
          <a:endParaRPr lang="fr-FR" sz="1100" b="0" i="0" baseline="0"/>
        </a:p>
        <a:p>
          <a:r>
            <a:rPr lang="fr-FR" sz="1100" b="0" i="0" baseline="0"/>
            <a:t>Remplissez d'abord les trois cases du haut à gauche: votre vitesse moyenne estimée à plat, le nombre d'heures de marche effective par jour et le supplément de temps pour 300m de montée (généralement entre 30 et 45mn). Vous pouvez revenir sur ces choix à n'importe quel  moment.</a:t>
          </a:r>
        </a:p>
        <a:p>
          <a:endParaRPr lang="fr-FR" sz="1100" b="0" i="0" baseline="0"/>
        </a:p>
        <a:p>
          <a:r>
            <a:rPr lang="fr-FR" sz="1100" b="0" i="0" baseline="0"/>
            <a:t>indiquez ensuite votre date de départ dans la première ligne de la colonne AC "Départ" </a:t>
          </a:r>
          <a:r>
            <a:rPr lang="fr-FR" sz="1100" b="1" i="0" baseline="0"/>
            <a:t>Attention</a:t>
          </a:r>
          <a:r>
            <a:rPr lang="fr-FR" sz="1100" b="0" i="0" baseline="0"/>
            <a:t>, il faut modifier cette case dans la barre Excel au-dessus de la feuille de calcul en  respectant bien le même format:   </a:t>
          </a:r>
          <a:r>
            <a:rPr lang="fr-FR" sz="1100" b="0" i="0" u="sng" baseline="0"/>
            <a:t>15/04/2018  07:00:00 . </a:t>
          </a:r>
          <a:r>
            <a:rPr lang="fr-FR" sz="1100" b="0" i="0" u="none" baseline="0"/>
            <a:t>si vous vous trompez de format ou si vous renseignez la case AC8 de la feuille de calcul, ça ne marche pas.</a:t>
          </a:r>
        </a:p>
        <a:p>
          <a:endParaRPr lang="fr-FR" sz="1100" b="0" i="0" u="none" baseline="0"/>
        </a:p>
        <a:p>
          <a:r>
            <a:rPr lang="fr-FR" sz="1100" b="0" i="0" u="none" baseline="0"/>
            <a:t>Ne cherchez pas à modifier pas les heures de départ , 07h00 ou d'arrivée, 18h00: ce sont juste des estimations pour faire fonctionner les alarmes de temps (voir plus loin).</a:t>
          </a:r>
        </a:p>
        <a:p>
          <a:endParaRPr lang="fr-FR" sz="1100" b="0" i="0" u="none" baseline="0"/>
        </a:p>
        <a:p>
          <a:r>
            <a:rPr lang="fr-FR" sz="1100" b="0" i="0" u="none" baseline="0"/>
            <a:t>Vous pouvez commencer à plannifier:</a:t>
          </a:r>
        </a:p>
        <a:p>
          <a:endParaRPr lang="fr-FR" sz="1100" b="0" i="0" u="none" baseline="0"/>
        </a:p>
        <a:p>
          <a:r>
            <a:rPr lang="fr-FR" sz="1100" b="0" i="0" u="none" baseline="0"/>
            <a:t>Il suffit de cocher la case de la ligne où vous voulez faire étape.</a:t>
          </a:r>
        </a:p>
        <a:p>
          <a:endParaRPr lang="fr-FR" sz="1100" b="0" i="0" u="none" baseline="0"/>
        </a:p>
        <a:p>
          <a:r>
            <a:rPr lang="fr-FR" sz="1100" b="0" i="0" u="none" baseline="0"/>
            <a:t>Dans cette même ligne, vous indiquez ensuite si vous vous y arrêtez pour la nuit en mettant un "1" dans la case "Né" (néro, soit "presque zéro" ou jour d'arrêt partiel, en général quand vous arrivez à l'étape en cours de journée et que vous y restez pour la nuit), et si vous y faite un arrêt d'une journée entière ou plus en remplissant la case "Zé" (zéro, ou jour de repos complet) du nombre de jours d'arrêt en plus du néro. Si vous voulez juste prendre des provisions et continuer, vous estimez dans la case "H sup sans arrêt" le nombre d'heures qu'il vous faudra (pensez au stop!). </a:t>
          </a:r>
        </a:p>
        <a:p>
          <a:r>
            <a:rPr lang="fr-FR" sz="1100" b="0" i="0" u="none" baseline="0"/>
            <a:t>Si vous ommettez d'écrire quoi que ce soit dans cette partie de la ligne, une alerte en rouge dans la colonne AA vous le rappelle. </a:t>
          </a:r>
        </a:p>
        <a:p>
          <a:r>
            <a:rPr lang="fr-FR" sz="1100" b="0" i="0" u="none" baseline="0"/>
            <a:t>Si vous tentez d'indiquer un néro  sans avoir prévu d'étape, la case "jours de repos" se remplit de #######.</a:t>
          </a:r>
        </a:p>
        <a:p>
          <a:endParaRPr lang="fr-FR" sz="1100" b="0" i="0" u="none" baseline="0"/>
        </a:p>
        <a:p>
          <a:r>
            <a:rPr lang="fr-FR" sz="1100" b="0" i="0" u="none" baseline="0"/>
            <a:t>La feuillez ajuste automatiquement  les dates pour les néros et les zéros, mais pas pour les heures supplémentaires: dans ce cas, les heures d'arrivée et de départ changent et vous devez contrôler vous-même que ces heures restent correctes (la case des heures se colore en orange pour vous avertir). Pour les ajuster, soit vous introduissez un néro d'étape, soit vous ajustez le nombre d'heures supplémentaires.</a:t>
          </a:r>
        </a:p>
        <a:p>
          <a:endParaRPr lang="fr-FR" sz="1100" b="0" i="0" u="none" baseline="0"/>
        </a:p>
        <a:p>
          <a:r>
            <a:rPr lang="fr-FR" sz="1100" b="0" i="0" u="none" baseline="0"/>
            <a:t>Pour mémoire, si vous le souhaitez, vous pouvez aussi remplir les cases alimentation (n'importe quel signe fait l'affaire):</a:t>
          </a:r>
        </a:p>
        <a:p>
          <a:r>
            <a:rPr lang="fr-FR" sz="1100" b="0" i="0" u="none" baseline="0"/>
            <a:t>"Sur place" pour les achats faits sur place</a:t>
          </a:r>
        </a:p>
        <a:p>
          <a:r>
            <a:rPr lang="fr-FR" sz="1100" b="0" i="0" u="none" baseline="0"/>
            <a:t>"B reçues" pour la collecte de boites de ravitaillement que vous vous êtes envoyées.</a:t>
          </a:r>
        </a:p>
        <a:p>
          <a:r>
            <a:rPr lang="fr-FR" sz="1100" b="0" i="0" u="none" baseline="0"/>
            <a:t>"B  env" pour penser à vous envoyez ces boites de ravitallement !</a:t>
          </a:r>
        </a:p>
        <a:p>
          <a:endParaRPr lang="fr-FR" sz="1100" b="0" i="0" u="none" baseline="0"/>
        </a:p>
        <a:p>
          <a:r>
            <a:rPr lang="fr-FR" sz="1100" b="0" i="0" u="none" baseline="0"/>
            <a:t>Les lignes entre les étapes disparaissent pour plus de lisibilité. Elle réapparaissent si vous selectionnez une étape intermédiaire.</a:t>
          </a:r>
        </a:p>
        <a:p>
          <a:endParaRPr lang="fr-FR" sz="1100" b="0" i="0" u="none" baseline="0"/>
        </a:p>
        <a:p>
          <a:r>
            <a:rPr lang="fr-FR" sz="1100" b="0" i="0" u="none" baseline="0"/>
            <a:t>La colonne "détour" vous indique, pour chaque  point de sortie du PCT, la distance à la ville la plus proche en chemin (trail) ou sur route (road). Attention: le stop ne marche bien que sur les petites routes raisonnablement fréquentées; il est  difficile, voire interdit sur les Interstates (Int). Pour mémoire: si la colonne n'est pas assez large, vous pouvez l'élargir en saisissant le bord droit de la colonne sur la ligne de la lettre de référence.</a:t>
          </a:r>
        </a:p>
        <a:p>
          <a:endParaRPr lang="fr-FR" sz="1100" b="0" i="0" u="none" baseline="0"/>
        </a:p>
        <a:p>
          <a:r>
            <a:rPr lang="fr-FR" sz="1100" b="0" i="0" u="none" baseline="0"/>
            <a:t>Les indications de dénivellé vous donnent une idée des pentes. Pour plus de détails, vous pouvez consulter les graphiques des sections proposées ligne par ligne. Les références sont les mêmes que les lignes.</a:t>
          </a:r>
        </a:p>
        <a:p>
          <a:endParaRPr lang="fr-FR" sz="1100" b="0" i="0" u="none" baseline="0"/>
        </a:p>
        <a:p>
          <a:endParaRPr lang="fr-FR" sz="1100" b="0" i="0" u="none" baseline="0"/>
        </a:p>
        <a:p>
          <a:endParaRPr lang="fr-FR" sz="1100" b="0" i="0" u="none" baseline="0"/>
        </a:p>
        <a:p>
          <a:endParaRPr lang="fr-FR" sz="1100" b="0" i="0" u="none" baseline="0"/>
        </a:p>
        <a:p>
          <a:endParaRPr lang="fr-FR" sz="1100" b="0" i="0" u="none" baseline="0"/>
        </a:p>
        <a:p>
          <a:endParaRPr lang="fr-FR" sz="1100" b="0" i="0" baseline="0"/>
        </a:p>
        <a:p>
          <a:endParaRPr lang="fr-FR" sz="1100" b="0" i="0" baseline="0"/>
        </a:p>
        <a:p>
          <a:endParaRPr lang="fr-FR" sz="1100" b="0" i="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J76"/>
  <sheetViews>
    <sheetView showGridLines="0" tabSelected="1" workbookViewId="0">
      <pane ySplit="7" topLeftCell="A11" activePane="bottomLeft" state="frozen"/>
      <selection activeCell="A7" sqref="A7"/>
      <selection pane="bottomLeft" activeCell="W56" sqref="W56"/>
    </sheetView>
  </sheetViews>
  <sheetFormatPr baseColWidth="10" defaultRowHeight="15" x14ac:dyDescent="0.25"/>
  <cols>
    <col min="1" max="1" width="28.5703125" style="22" customWidth="1"/>
    <col min="2" max="2" width="6" style="22" customWidth="1"/>
    <col min="3" max="3" width="5.5703125" style="30" customWidth="1"/>
    <col min="4" max="4" width="6.7109375" style="15" customWidth="1"/>
    <col min="5" max="5" width="7.7109375" style="30" customWidth="1"/>
    <col min="6" max="6" width="12" style="74" customWidth="1"/>
    <col min="7" max="7" width="1" style="74" customWidth="1"/>
    <col min="8" max="8" width="7.7109375" style="30" customWidth="1"/>
    <col min="9" max="9" width="5.85546875" style="75" hidden="1" customWidth="1"/>
    <col min="10" max="10" width="2.7109375" style="75" hidden="1" customWidth="1"/>
    <col min="11" max="11" width="6.140625" style="76" customWidth="1"/>
    <col min="12" max="12" width="4.7109375" style="30" customWidth="1"/>
    <col min="13" max="14" width="7.7109375" style="75" hidden="1" customWidth="1"/>
    <col min="15" max="15" width="5.85546875" style="30" customWidth="1"/>
    <col min="16" max="16" width="5.85546875" style="29" customWidth="1"/>
    <col min="17" max="17" width="6.28515625" style="30" customWidth="1"/>
    <col min="18" max="18" width="5.7109375" style="29" customWidth="1"/>
    <col min="19" max="19" width="26.5703125" style="31" customWidth="1"/>
    <col min="20" max="20" width="3" style="20" customWidth="1"/>
    <col min="21" max="22" width="2.85546875" style="21" customWidth="1"/>
    <col min="23" max="23" width="3.42578125" style="22" customWidth="1"/>
    <col min="24" max="24" width="3.5703125" style="22" customWidth="1"/>
    <col min="25" max="25" width="6.140625" style="22" customWidth="1"/>
    <col min="26" max="26" width="3.140625" style="22" customWidth="1"/>
    <col min="27" max="27" width="7.42578125" style="22" customWidth="1"/>
    <col min="28" max="28" width="27.7109375" style="21" customWidth="1"/>
    <col min="29" max="29" width="3.140625" style="22" customWidth="1"/>
    <col min="30" max="30" width="2.140625" style="22" customWidth="1"/>
    <col min="31" max="31" width="3.28515625" style="22" customWidth="1"/>
    <col min="32" max="34" width="3.42578125" style="22" customWidth="1"/>
    <col min="35" max="35" width="7.42578125" style="22" customWidth="1"/>
    <col min="36" max="36" width="14.28515625" style="22" customWidth="1"/>
    <col min="37" max="16384" width="11.42578125" style="22"/>
  </cols>
  <sheetData>
    <row r="1" spans="1:36" ht="16.5" thickBot="1" x14ac:dyDescent="0.3">
      <c r="A1" s="12"/>
      <c r="B1" s="13"/>
      <c r="C1" s="14"/>
      <c r="E1" s="16"/>
      <c r="F1" s="17" t="s">
        <v>217</v>
      </c>
      <c r="G1" s="18"/>
      <c r="H1" s="18"/>
      <c r="I1" s="18"/>
      <c r="J1" s="18"/>
      <c r="K1" s="18"/>
      <c r="L1" s="18"/>
      <c r="M1" s="18"/>
      <c r="N1" s="18"/>
      <c r="O1" s="18"/>
      <c r="P1" s="18"/>
      <c r="Q1" s="18"/>
      <c r="R1" s="18"/>
      <c r="S1" s="19"/>
    </row>
    <row r="2" spans="1:36" x14ac:dyDescent="0.25">
      <c r="A2" s="12" t="s">
        <v>5</v>
      </c>
      <c r="B2" s="10">
        <v>3.5</v>
      </c>
      <c r="C2" s="23" t="s">
        <v>218</v>
      </c>
      <c r="E2" s="24"/>
      <c r="F2" s="25"/>
      <c r="G2" s="25"/>
      <c r="H2" s="24"/>
      <c r="I2" s="24"/>
      <c r="J2" s="24"/>
      <c r="K2" s="26"/>
      <c r="L2" s="27"/>
      <c r="M2" s="28"/>
      <c r="N2" s="28"/>
      <c r="O2" s="27"/>
      <c r="AB2" s="32"/>
    </row>
    <row r="3" spans="1:36" x14ac:dyDescent="0.25">
      <c r="A3" s="12" t="s">
        <v>6</v>
      </c>
      <c r="B3" s="10">
        <v>10</v>
      </c>
      <c r="E3" s="24"/>
      <c r="F3" s="33"/>
      <c r="G3" s="33"/>
      <c r="H3" s="33"/>
      <c r="I3" s="33"/>
      <c r="J3" s="33"/>
      <c r="K3" s="33"/>
      <c r="L3" s="33"/>
      <c r="M3" s="33"/>
      <c r="N3" s="33"/>
      <c r="O3" s="33"/>
      <c r="P3" s="33"/>
      <c r="Q3" s="33"/>
      <c r="R3" s="33"/>
      <c r="S3" s="33"/>
      <c r="AB3" s="34"/>
    </row>
    <row r="4" spans="1:36" x14ac:dyDescent="0.25">
      <c r="A4" s="35" t="s">
        <v>7</v>
      </c>
      <c r="B4" s="36">
        <v>0.75</v>
      </c>
      <c r="E4" s="24"/>
      <c r="F4" s="25"/>
      <c r="G4" s="25"/>
      <c r="H4" s="24"/>
      <c r="I4" s="24"/>
      <c r="J4" s="24"/>
      <c r="K4" s="37"/>
      <c r="L4" s="38"/>
      <c r="M4" s="39"/>
      <c r="N4" s="39"/>
    </row>
    <row r="5" spans="1:36" x14ac:dyDescent="0.25">
      <c r="A5" s="40" t="s">
        <v>55</v>
      </c>
      <c r="B5" s="40"/>
      <c r="C5" s="40"/>
      <c r="D5" s="40"/>
      <c r="E5" s="40"/>
      <c r="F5" s="40"/>
      <c r="G5" s="41"/>
      <c r="H5" s="42" t="s">
        <v>35</v>
      </c>
      <c r="I5" s="24"/>
      <c r="J5" s="24"/>
      <c r="K5" s="43" t="s">
        <v>32</v>
      </c>
      <c r="L5" s="43"/>
      <c r="M5" s="43"/>
      <c r="N5" s="43"/>
      <c r="O5" s="43"/>
      <c r="P5" s="43"/>
      <c r="Q5" s="43"/>
      <c r="R5" s="43"/>
      <c r="S5" s="43"/>
      <c r="T5" s="43"/>
      <c r="U5" s="43"/>
      <c r="V5" s="43"/>
      <c r="W5" s="43"/>
      <c r="X5" s="43"/>
      <c r="Y5" s="43"/>
      <c r="Z5" s="43"/>
      <c r="AA5" s="43"/>
      <c r="AB5" s="43"/>
      <c r="AC5" s="43"/>
      <c r="AD5" s="43"/>
      <c r="AE5" s="43"/>
      <c r="AF5" s="44" t="s">
        <v>110</v>
      </c>
      <c r="AG5" s="44"/>
      <c r="AH5" s="44"/>
    </row>
    <row r="6" spans="1:36" x14ac:dyDescent="0.25">
      <c r="A6" s="40"/>
      <c r="B6" s="40"/>
      <c r="C6" s="40"/>
      <c r="D6" s="40"/>
      <c r="E6" s="40"/>
      <c r="F6" s="40"/>
      <c r="G6" s="45"/>
      <c r="H6" s="46"/>
      <c r="I6" s="24"/>
      <c r="J6" s="24"/>
      <c r="K6" s="47" t="s">
        <v>33</v>
      </c>
      <c r="L6" s="47"/>
      <c r="M6" s="47"/>
      <c r="N6" s="47"/>
      <c r="O6" s="47"/>
      <c r="P6" s="47"/>
      <c r="Q6" s="48" t="s">
        <v>34</v>
      </c>
      <c r="R6" s="48"/>
      <c r="S6" s="49" t="s">
        <v>53</v>
      </c>
      <c r="T6" s="49"/>
      <c r="U6" s="49"/>
      <c r="V6" s="49"/>
      <c r="W6" s="49"/>
      <c r="X6" s="49"/>
      <c r="Y6" s="49"/>
      <c r="Z6" s="49"/>
      <c r="AA6" s="49"/>
      <c r="AB6" s="49"/>
      <c r="AC6" s="49"/>
      <c r="AD6" s="49"/>
      <c r="AE6" s="49"/>
      <c r="AF6" s="44"/>
      <c r="AG6" s="44"/>
      <c r="AH6" s="44"/>
    </row>
    <row r="7" spans="1:36" s="66" customFormat="1" ht="75" x14ac:dyDescent="0.25">
      <c r="A7" s="50" t="s">
        <v>54</v>
      </c>
      <c r="B7" s="50" t="s">
        <v>0</v>
      </c>
      <c r="C7" s="50" t="s">
        <v>37</v>
      </c>
      <c r="D7" s="51" t="s">
        <v>38</v>
      </c>
      <c r="E7" s="50" t="s">
        <v>39</v>
      </c>
      <c r="F7" s="52" t="s">
        <v>29</v>
      </c>
      <c r="G7" s="52"/>
      <c r="H7" s="53"/>
      <c r="I7" s="54"/>
      <c r="J7" s="54"/>
      <c r="K7" s="55" t="s">
        <v>26</v>
      </c>
      <c r="L7" s="56" t="s">
        <v>27</v>
      </c>
      <c r="M7" s="56" t="s">
        <v>51</v>
      </c>
      <c r="N7" s="56" t="s">
        <v>52</v>
      </c>
      <c r="O7" s="56" t="s">
        <v>36</v>
      </c>
      <c r="P7" s="57" t="s">
        <v>28</v>
      </c>
      <c r="Q7" s="58" t="s">
        <v>30</v>
      </c>
      <c r="R7" s="59" t="s">
        <v>31</v>
      </c>
      <c r="S7" s="60" t="s">
        <v>43</v>
      </c>
      <c r="T7" s="61" t="s">
        <v>219</v>
      </c>
      <c r="U7" s="61"/>
      <c r="V7" s="61"/>
      <c r="W7" s="62" t="s">
        <v>49</v>
      </c>
      <c r="X7" s="62" t="s">
        <v>50</v>
      </c>
      <c r="Y7" s="63" t="s">
        <v>48</v>
      </c>
      <c r="Z7" s="64" t="s">
        <v>47</v>
      </c>
      <c r="AA7" s="58" t="s">
        <v>45</v>
      </c>
      <c r="AB7" s="60" t="s">
        <v>44</v>
      </c>
      <c r="AC7" s="65" t="s">
        <v>219</v>
      </c>
      <c r="AD7" s="65"/>
      <c r="AE7" s="65"/>
      <c r="AF7" s="58" t="s">
        <v>111</v>
      </c>
      <c r="AG7" s="58" t="s">
        <v>112</v>
      </c>
      <c r="AH7" s="58" t="s">
        <v>113</v>
      </c>
    </row>
    <row r="8" spans="1:36" s="70" customFormat="1" ht="15.75" x14ac:dyDescent="0.25">
      <c r="A8" s="77" t="s">
        <v>42</v>
      </c>
      <c r="B8" s="78">
        <f>VLOOKUP(A8,base!A2:B6,2)</f>
        <v>0</v>
      </c>
      <c r="C8" s="79">
        <f>VLOOKUP(A8,base!A2:J6,10)</f>
        <v>0</v>
      </c>
      <c r="D8" s="80">
        <v>0</v>
      </c>
      <c r="E8" s="81">
        <v>0</v>
      </c>
      <c r="F8" s="82">
        <f>base!F2</f>
        <v>0</v>
      </c>
      <c r="G8" s="67" t="s">
        <v>109</v>
      </c>
      <c r="H8" s="6"/>
      <c r="I8" s="68"/>
      <c r="J8" s="68"/>
      <c r="K8" s="85" t="str">
        <f>IF(I8=TRUE,SUMIFS(B$9:B$13,J$9:J$13,J8),"")</f>
        <v/>
      </c>
      <c r="L8" s="86" t="str">
        <f>IF(I8=TRUE,SUMIFS(C$7:C$12,J$7:J$12,J8),"")</f>
        <v/>
      </c>
      <c r="M8" s="87" t="e">
        <f t="shared" ref="M8:M39" si="0">(O8-(INT(L8)*B$3))/24</f>
        <v>#VALUE!</v>
      </c>
      <c r="N8" s="87" t="e">
        <f t="shared" ref="N8:N10" si="1">INT(L8)+M8</f>
        <v>#VALUE!</v>
      </c>
      <c r="O8" s="79">
        <f>IF(I8=TRUE,SUMIFS(D$9:D$13,J$9:J$13,J8),0)</f>
        <v>0</v>
      </c>
      <c r="P8" s="88" t="str">
        <f>IF(I8=TRUE,SUMIFS(base!D$3:D$7,base!C$3:C$7,base!C2),"")</f>
        <v/>
      </c>
      <c r="Q8" s="79" t="str">
        <f>IF(K8="","",K8/L8)</f>
        <v/>
      </c>
      <c r="R8" s="88" t="str">
        <f t="shared" ref="R8:R32" si="2">IF(P8="","",P8/L8)</f>
        <v/>
      </c>
      <c r="S8" s="89"/>
      <c r="T8" s="90"/>
      <c r="U8" s="91"/>
      <c r="V8" s="90"/>
      <c r="W8" s="5"/>
      <c r="X8" s="5"/>
      <c r="Y8" s="6"/>
      <c r="Z8" s="69"/>
      <c r="AA8" s="69"/>
      <c r="AB8" s="11">
        <v>43205.291666666664</v>
      </c>
      <c r="AC8" s="78">
        <f>HOUR(AB8)</f>
        <v>7</v>
      </c>
      <c r="AD8" s="78" t="s">
        <v>46</v>
      </c>
      <c r="AE8" s="78">
        <f>MINUTE(AB8)</f>
        <v>0</v>
      </c>
      <c r="AF8" s="6"/>
      <c r="AG8" s="6"/>
      <c r="AH8" s="6">
        <v>4</v>
      </c>
    </row>
    <row r="9" spans="1:36" ht="15.75" x14ac:dyDescent="0.25">
      <c r="A9" s="78" t="s">
        <v>8</v>
      </c>
      <c r="B9" s="78">
        <f>VLOOKUP(A9,base!A$3:B$100,2)</f>
        <v>33.200000000000003</v>
      </c>
      <c r="C9" s="79">
        <f>D9/B$3</f>
        <v>1.1245714285714286</v>
      </c>
      <c r="D9" s="80">
        <f>VLOOKUP(A9,base!A$3:J$100,9)+Y9</f>
        <v>11.245714285714286</v>
      </c>
      <c r="E9" s="83">
        <f>E8+base!B3</f>
        <v>33.200000000000003</v>
      </c>
      <c r="F9" s="82" t="str">
        <f>base!F3</f>
        <v>0,1Km</v>
      </c>
      <c r="G9" s="67" t="s">
        <v>109</v>
      </c>
      <c r="H9" s="10"/>
      <c r="I9" s="71" t="b">
        <v>0</v>
      </c>
      <c r="J9" s="71">
        <v>1</v>
      </c>
      <c r="K9" s="85" t="str">
        <f>IF(I9=TRUE,SUMIFS(B$9:B$13,J$9:J$13,J9),"")</f>
        <v/>
      </c>
      <c r="L9" s="86" t="str">
        <f>IF(I9=TRUE,SUMIFS(C$7:C$12,J$7:J$12,J9),"")</f>
        <v/>
      </c>
      <c r="M9" s="87" t="e">
        <f t="shared" si="0"/>
        <v>#VALUE!</v>
      </c>
      <c r="N9" s="87" t="e">
        <f t="shared" si="1"/>
        <v>#VALUE!</v>
      </c>
      <c r="O9" s="79">
        <f>IF(I9=TRUE,SUMIFS(D$9:D$13,J$9:J$13,J9),0)</f>
        <v>0</v>
      </c>
      <c r="P9" s="88" t="str">
        <f>IF(I9=TRUE,SUMIFS(base!D$3:D$100,base!C$3:C$100,base!C3),"")</f>
        <v/>
      </c>
      <c r="Q9" s="79" t="str">
        <f>IF(K9="","",K9/L9)</f>
        <v/>
      </c>
      <c r="R9" s="88" t="str">
        <f t="shared" si="2"/>
        <v/>
      </c>
      <c r="S9" s="92">
        <f t="shared" ref="S9:S40" si="3">IF(I9=TRUE,AB8+N9,AB8)-AK9</f>
        <v>43205.291666666664</v>
      </c>
      <c r="T9" s="90">
        <f t="shared" ref="T9:T72" si="4">HOUR(S9)</f>
        <v>7</v>
      </c>
      <c r="U9" s="91" t="s">
        <v>46</v>
      </c>
      <c r="V9" s="90">
        <f t="shared" ref="V9:V11" si="5">MINUTE(S9)</f>
        <v>0</v>
      </c>
      <c r="W9" s="7"/>
      <c r="X9" s="7"/>
      <c r="Y9" s="8"/>
      <c r="Z9" s="93" t="str">
        <f t="shared" ref="Z9:Z40" si="6">IF(I9=TRUE,IF(W9+X9+Y9=0,"&lt;= !",""),"")</f>
        <v/>
      </c>
      <c r="AA9" s="94">
        <f t="shared" ref="AA9:AA40" si="7">IF(W9=1,ROUNDUP(L9,0)-L9,0)+IF(X9=1,1,0)</f>
        <v>0</v>
      </c>
      <c r="AB9" s="95">
        <f t="shared" ref="AB9:AB40" si="8">IF(W9=1, ROUNDDOWN(S9,0)+1+0.29167,S9)</f>
        <v>43205.291666666664</v>
      </c>
      <c r="AC9" s="78">
        <f>HOUR(AB9)</f>
        <v>7</v>
      </c>
      <c r="AD9" s="78" t="s">
        <v>46</v>
      </c>
      <c r="AE9" s="78">
        <f>MINUTE(AB9)</f>
        <v>0</v>
      </c>
      <c r="AF9" s="9"/>
      <c r="AG9" s="10"/>
      <c r="AH9" s="10"/>
    </row>
    <row r="10" spans="1:36" ht="15.75" x14ac:dyDescent="0.25">
      <c r="A10" s="78" t="s">
        <v>9</v>
      </c>
      <c r="B10" s="78">
        <f>VLOOKUP(A10,base!A$3:B$100,2)</f>
        <v>8.6999999999999993</v>
      </c>
      <c r="C10" s="79">
        <f t="shared" ref="C10:C11" si="9">D10/B$3</f>
        <v>0.26332142857142854</v>
      </c>
      <c r="D10" s="80">
        <f>VLOOKUP(A10,base!A$3:J$100,9)+Y10</f>
        <v>2.6332142857142853</v>
      </c>
      <c r="E10" s="83">
        <f>E9+base!B4</f>
        <v>41.900000000000006</v>
      </c>
      <c r="F10" s="82">
        <f>base!F4</f>
        <v>0</v>
      </c>
      <c r="G10" s="67" t="s">
        <v>109</v>
      </c>
      <c r="H10" s="10"/>
      <c r="I10" s="71" t="b">
        <v>0</v>
      </c>
      <c r="J10" s="71">
        <f>IF(I9=TRUE,J9+1,J9)</f>
        <v>1</v>
      </c>
      <c r="K10" s="85" t="str">
        <f t="shared" ref="K10:K41" si="10">IF(I10=TRUE,SUMIFS(B$9:B$100,J$9:J$100,J10),"")</f>
        <v/>
      </c>
      <c r="L10" s="86" t="str">
        <f t="shared" ref="L10:L41" si="11">IF(I10=TRUE,SUMIFS(C$7:C$100,J$7:J$100,J10),"")</f>
        <v/>
      </c>
      <c r="M10" s="87" t="e">
        <f t="shared" si="0"/>
        <v>#VALUE!</v>
      </c>
      <c r="N10" s="87" t="e">
        <f t="shared" si="1"/>
        <v>#VALUE!</v>
      </c>
      <c r="O10" s="79">
        <f t="shared" ref="O10:O41" si="12">IF(I10=TRUE,SUMIFS(D$9:D$100,J$9:J$100,J10),0)</f>
        <v>0</v>
      </c>
      <c r="P10" s="88" t="str">
        <f>IF(I10=TRUE,SUMIFS(base!D$3:D$100,base!C$3:C$100,base!C4),"")</f>
        <v/>
      </c>
      <c r="Q10" s="79" t="str">
        <f t="shared" ref="Q10:Q13" si="13">IF(K10="","",K10/L10)</f>
        <v/>
      </c>
      <c r="R10" s="88" t="str">
        <f t="shared" si="2"/>
        <v/>
      </c>
      <c r="S10" s="92">
        <f t="shared" si="3"/>
        <v>43205.291666666664</v>
      </c>
      <c r="T10" s="90">
        <f t="shared" si="4"/>
        <v>7</v>
      </c>
      <c r="U10" s="91" t="s">
        <v>46</v>
      </c>
      <c r="V10" s="90">
        <f t="shared" si="5"/>
        <v>0</v>
      </c>
      <c r="W10" s="7"/>
      <c r="X10" s="7"/>
      <c r="Y10" s="8"/>
      <c r="Z10" s="93" t="str">
        <f t="shared" si="6"/>
        <v/>
      </c>
      <c r="AA10" s="94">
        <f t="shared" si="7"/>
        <v>0</v>
      </c>
      <c r="AB10" s="95">
        <f t="shared" si="8"/>
        <v>43205.291666666664</v>
      </c>
      <c r="AC10" s="78">
        <f t="shared" ref="AC10:AC13" si="14">HOUR(AB10)</f>
        <v>7</v>
      </c>
      <c r="AD10" s="78" t="s">
        <v>46</v>
      </c>
      <c r="AE10" s="78">
        <f t="shared" ref="AE10:AE13" si="15">MINUTE(AB10)</f>
        <v>0</v>
      </c>
      <c r="AF10" s="10"/>
      <c r="AG10" s="10"/>
      <c r="AH10" s="10"/>
    </row>
    <row r="11" spans="1:36" ht="15.75" x14ac:dyDescent="0.25">
      <c r="A11" s="78" t="s">
        <v>10</v>
      </c>
      <c r="B11" s="78">
        <f>VLOOKUP(A11,base!A$3:B$100,2)</f>
        <v>26.2</v>
      </c>
      <c r="C11" s="79">
        <f t="shared" si="9"/>
        <v>0.98207142857142848</v>
      </c>
      <c r="D11" s="80">
        <f>VLOOKUP(A11,base!A$3:J$100,9)+Y11</f>
        <v>9.8207142857142848</v>
      </c>
      <c r="E11" s="83">
        <f>E10+base!B5</f>
        <v>68.100000000000009</v>
      </c>
      <c r="F11" s="82" t="str">
        <f>base!F5</f>
        <v>0Km</v>
      </c>
      <c r="G11" s="67" t="s">
        <v>109</v>
      </c>
      <c r="H11" s="10"/>
      <c r="I11" s="71" t="b">
        <v>1</v>
      </c>
      <c r="J11" s="71">
        <f>IF(I10=TRUE,J10+1,J10)</f>
        <v>1</v>
      </c>
      <c r="K11" s="85">
        <f t="shared" si="10"/>
        <v>68.100000000000009</v>
      </c>
      <c r="L11" s="86">
        <f t="shared" si="11"/>
        <v>2.3699642857142855</v>
      </c>
      <c r="M11" s="87">
        <f t="shared" si="0"/>
        <v>0.15415178571428564</v>
      </c>
      <c r="N11" s="87">
        <f t="shared" ref="N11:N32" si="16">INT(L11)+M11</f>
        <v>2.1541517857142858</v>
      </c>
      <c r="O11" s="79">
        <f t="shared" si="12"/>
        <v>23.699642857142855</v>
      </c>
      <c r="P11" s="88">
        <f>IF(I11=TRUE,SUMIFS(base!D$3:D$100,base!C$3:C$100,base!C5),"")</f>
        <v>1697</v>
      </c>
      <c r="Q11" s="79">
        <f t="shared" si="13"/>
        <v>28.73461022619389</v>
      </c>
      <c r="R11" s="88">
        <f t="shared" si="2"/>
        <v>716.04454557784175</v>
      </c>
      <c r="S11" s="92">
        <f t="shared" si="3"/>
        <v>43207.445818452376</v>
      </c>
      <c r="T11" s="90">
        <f t="shared" si="4"/>
        <v>10</v>
      </c>
      <c r="U11" s="91" t="s">
        <v>46</v>
      </c>
      <c r="V11" s="90">
        <f t="shared" si="5"/>
        <v>41</v>
      </c>
      <c r="W11" s="7">
        <v>1</v>
      </c>
      <c r="X11" s="7"/>
      <c r="Y11" s="8"/>
      <c r="Z11" s="93" t="str">
        <f t="shared" si="6"/>
        <v/>
      </c>
      <c r="AA11" s="94">
        <f t="shared" si="7"/>
        <v>0.63003571428571448</v>
      </c>
      <c r="AB11" s="95">
        <f t="shared" si="8"/>
        <v>43208.291669999999</v>
      </c>
      <c r="AC11" s="78">
        <f t="shared" si="14"/>
        <v>7</v>
      </c>
      <c r="AD11" s="78" t="s">
        <v>46</v>
      </c>
      <c r="AE11" s="78">
        <f t="shared" si="15"/>
        <v>0</v>
      </c>
      <c r="AF11" s="10">
        <v>1</v>
      </c>
      <c r="AG11" s="9"/>
      <c r="AH11" s="10"/>
    </row>
    <row r="12" spans="1:36" ht="15.75" x14ac:dyDescent="0.25">
      <c r="A12" s="78" t="s">
        <v>12</v>
      </c>
      <c r="B12" s="78">
        <f>VLOOKUP(A12,base!A$3:B$100,2)</f>
        <v>56.8</v>
      </c>
      <c r="C12" s="79">
        <f t="shared" ref="C12" si="17">D12/B$3</f>
        <v>1.6941071428571426</v>
      </c>
      <c r="D12" s="80">
        <f>VLOOKUP(A12,base!A$3:J$100,9)+Y12</f>
        <v>16.941071428571426</v>
      </c>
      <c r="E12" s="83">
        <f>E11+base!B6</f>
        <v>124.9</v>
      </c>
      <c r="F12" s="82" t="str">
        <f>base!F6</f>
        <v>19,3Km road</v>
      </c>
      <c r="G12" s="67" t="s">
        <v>109</v>
      </c>
      <c r="H12" s="10"/>
      <c r="I12" s="71" t="b">
        <v>0</v>
      </c>
      <c r="J12" s="71">
        <f>IF(I11=TRUE,J11+1,J11)</f>
        <v>2</v>
      </c>
      <c r="K12" s="85" t="str">
        <f t="shared" si="10"/>
        <v/>
      </c>
      <c r="L12" s="86" t="str">
        <f t="shared" si="11"/>
        <v/>
      </c>
      <c r="M12" s="87" t="e">
        <f t="shared" si="0"/>
        <v>#VALUE!</v>
      </c>
      <c r="N12" s="87" t="e">
        <f t="shared" si="16"/>
        <v>#VALUE!</v>
      </c>
      <c r="O12" s="79">
        <f t="shared" si="12"/>
        <v>0</v>
      </c>
      <c r="P12" s="88" t="str">
        <f>IF(I12=TRUE,SUMIFS(base!D$3:D$100,base!C$3:C$100,base!C6),"")</f>
        <v/>
      </c>
      <c r="Q12" s="79" t="str">
        <f t="shared" si="13"/>
        <v/>
      </c>
      <c r="R12" s="88" t="str">
        <f t="shared" si="2"/>
        <v/>
      </c>
      <c r="S12" s="92">
        <f t="shared" si="3"/>
        <v>43208.291669999999</v>
      </c>
      <c r="T12" s="90">
        <f t="shared" si="4"/>
        <v>7</v>
      </c>
      <c r="U12" s="91" t="s">
        <v>46</v>
      </c>
      <c r="V12" s="90">
        <f t="shared" ref="V12:V32" si="18">MINUTE(S12)</f>
        <v>0</v>
      </c>
      <c r="W12" s="7"/>
      <c r="X12" s="7"/>
      <c r="Y12" s="8"/>
      <c r="Z12" s="93" t="str">
        <f t="shared" si="6"/>
        <v/>
      </c>
      <c r="AA12" s="94">
        <f t="shared" si="7"/>
        <v>0</v>
      </c>
      <c r="AB12" s="95">
        <f t="shared" si="8"/>
        <v>43208.291669999999</v>
      </c>
      <c r="AC12" s="78">
        <f t="shared" si="14"/>
        <v>7</v>
      </c>
      <c r="AD12" s="78" t="s">
        <v>46</v>
      </c>
      <c r="AE12" s="78">
        <f t="shared" si="15"/>
        <v>0</v>
      </c>
      <c r="AF12" s="10"/>
      <c r="AG12" s="10"/>
      <c r="AH12" s="10"/>
      <c r="AJ12" s="72"/>
    </row>
    <row r="13" spans="1:36" ht="15.75" x14ac:dyDescent="0.25">
      <c r="A13" s="78" t="s">
        <v>11</v>
      </c>
      <c r="B13" s="78">
        <f>VLOOKUP(A13,base!A$3:B$100,2)</f>
        <v>51.5</v>
      </c>
      <c r="C13" s="79">
        <f t="shared" ref="C13:C32" si="19">D13/B$3</f>
        <v>1.6721785714285715</v>
      </c>
      <c r="D13" s="80">
        <f>VLOOKUP(A13,base!A$3:J$100,9)+Y13</f>
        <v>16.721785714285716</v>
      </c>
      <c r="E13" s="83">
        <f>E12+base!B7</f>
        <v>176.4</v>
      </c>
      <c r="F13" s="82" t="str">
        <f>base!F7</f>
        <v>1,9Km road</v>
      </c>
      <c r="G13" s="67" t="s">
        <v>109</v>
      </c>
      <c r="H13" s="10"/>
      <c r="I13" s="71" t="b">
        <v>1</v>
      </c>
      <c r="J13" s="71">
        <f>IF(I12=TRUE,J12+1,J12)</f>
        <v>2</v>
      </c>
      <c r="K13" s="85">
        <f t="shared" si="10"/>
        <v>108.3</v>
      </c>
      <c r="L13" s="86">
        <f t="shared" si="11"/>
        <v>3.3662857142857141</v>
      </c>
      <c r="M13" s="87">
        <f t="shared" si="0"/>
        <v>0.15261904761904757</v>
      </c>
      <c r="N13" s="87">
        <f t="shared" si="16"/>
        <v>3.1526190476190474</v>
      </c>
      <c r="O13" s="79">
        <f t="shared" si="12"/>
        <v>33.662857142857142</v>
      </c>
      <c r="P13" s="88">
        <f>IF(I13=TRUE,SUMIFS(base!D$3:D$100,base!C$3:C$100,base!C7),"")</f>
        <v>1088</v>
      </c>
      <c r="Q13" s="79">
        <f t="shared" si="13"/>
        <v>32.171957222882362</v>
      </c>
      <c r="R13" s="88">
        <f t="shared" si="2"/>
        <v>323.20488881344426</v>
      </c>
      <c r="S13" s="92">
        <f t="shared" si="3"/>
        <v>43211.44428904762</v>
      </c>
      <c r="T13" s="90">
        <f t="shared" si="4"/>
        <v>10</v>
      </c>
      <c r="U13" s="91" t="s">
        <v>46</v>
      </c>
      <c r="V13" s="90">
        <f t="shared" si="18"/>
        <v>39</v>
      </c>
      <c r="W13" s="7">
        <v>1</v>
      </c>
      <c r="X13" s="7"/>
      <c r="Y13" s="8"/>
      <c r="Z13" s="93" t="str">
        <f t="shared" si="6"/>
        <v/>
      </c>
      <c r="AA13" s="94">
        <f t="shared" si="7"/>
        <v>0.6337142857142859</v>
      </c>
      <c r="AB13" s="95">
        <f t="shared" si="8"/>
        <v>43212.291669999999</v>
      </c>
      <c r="AC13" s="78">
        <f t="shared" si="14"/>
        <v>7</v>
      </c>
      <c r="AD13" s="78" t="s">
        <v>46</v>
      </c>
      <c r="AE13" s="78">
        <f t="shared" si="15"/>
        <v>0</v>
      </c>
      <c r="AF13" s="10"/>
      <c r="AG13" s="9" t="s">
        <v>114</v>
      </c>
      <c r="AH13" s="10"/>
      <c r="AJ13" s="73"/>
    </row>
    <row r="14" spans="1:36" ht="15.75" x14ac:dyDescent="0.25">
      <c r="A14" s="84" t="s">
        <v>56</v>
      </c>
      <c r="B14" s="78">
        <f>VLOOKUP(A14,base!A$3:B$100,2)</f>
        <v>67.099999999999994</v>
      </c>
      <c r="C14" s="79">
        <f t="shared" si="19"/>
        <v>2.6931428571428571</v>
      </c>
      <c r="D14" s="80">
        <f>VLOOKUP(A14,base!A$3:J$100,9)+Y14</f>
        <v>26.931428571428572</v>
      </c>
      <c r="E14" s="83">
        <f>E13+base!B8</f>
        <v>243.5</v>
      </c>
      <c r="F14" s="82" t="str">
        <f>base!F8</f>
        <v>1,6Km road</v>
      </c>
      <c r="G14" s="67" t="s">
        <v>109</v>
      </c>
      <c r="H14" s="10"/>
      <c r="I14" s="71" t="b">
        <v>1</v>
      </c>
      <c r="J14" s="71">
        <f t="shared" ref="J14:J32" si="20">IF(I13=TRUE,J13+1,J13)</f>
        <v>3</v>
      </c>
      <c r="K14" s="85">
        <f t="shared" si="10"/>
        <v>67.099999999999994</v>
      </c>
      <c r="L14" s="86">
        <f t="shared" si="11"/>
        <v>2.6931428571428571</v>
      </c>
      <c r="M14" s="87">
        <f t="shared" si="0"/>
        <v>0.28880952380952385</v>
      </c>
      <c r="N14" s="87">
        <f t="shared" si="16"/>
        <v>2.2888095238095238</v>
      </c>
      <c r="O14" s="79">
        <f t="shared" si="12"/>
        <v>26.931428571428572</v>
      </c>
      <c r="P14" s="88">
        <f>IF(I14=TRUE,SUMIFS(base!D$3:D$100,base!C$3:C$100,base!C8),"")</f>
        <v>1504</v>
      </c>
      <c r="Q14" s="79">
        <f t="shared" ref="Q14:Q32" si="21">IF(K14="","",K14/L14)</f>
        <v>24.915128368342881</v>
      </c>
      <c r="R14" s="88">
        <f t="shared" si="2"/>
        <v>558.45533630384045</v>
      </c>
      <c r="S14" s="92">
        <f t="shared" si="3"/>
        <v>43214.580479523807</v>
      </c>
      <c r="T14" s="90">
        <f t="shared" si="4"/>
        <v>13</v>
      </c>
      <c r="U14" s="91" t="s">
        <v>46</v>
      </c>
      <c r="V14" s="90">
        <f t="shared" si="18"/>
        <v>55</v>
      </c>
      <c r="W14" s="7"/>
      <c r="X14" s="7"/>
      <c r="Y14" s="8">
        <v>4</v>
      </c>
      <c r="Z14" s="93" t="str">
        <f t="shared" si="6"/>
        <v/>
      </c>
      <c r="AA14" s="94">
        <f t="shared" si="7"/>
        <v>0</v>
      </c>
      <c r="AB14" s="95">
        <f t="shared" si="8"/>
        <v>43214.580479523807</v>
      </c>
      <c r="AC14" s="78">
        <f t="shared" ref="AC14:AC32" si="22">HOUR(AB14)</f>
        <v>13</v>
      </c>
      <c r="AD14" s="78" t="s">
        <v>46</v>
      </c>
      <c r="AE14" s="78">
        <f t="shared" ref="AE14:AE32" si="23">MINUTE(AB14)</f>
        <v>55</v>
      </c>
      <c r="AF14" s="10"/>
      <c r="AG14" s="10"/>
      <c r="AH14" s="10"/>
    </row>
    <row r="15" spans="1:36" ht="15.75" x14ac:dyDescent="0.25">
      <c r="A15" s="84" t="s">
        <v>59</v>
      </c>
      <c r="B15" s="78">
        <f>VLOOKUP(A15,base!A$3:B$100,2)</f>
        <v>44</v>
      </c>
      <c r="C15" s="79">
        <f t="shared" si="19"/>
        <v>1.6591428571428573</v>
      </c>
      <c r="D15" s="80">
        <f>VLOOKUP(A15,base!A$3:J$100,9)+Y15</f>
        <v>16.591428571428573</v>
      </c>
      <c r="E15" s="83">
        <f>E14+base!B9</f>
        <v>287.5</v>
      </c>
      <c r="F15" s="82" t="str">
        <f>base!F9</f>
        <v>4,2 KM trail + 4,2Km road</v>
      </c>
      <c r="G15" s="67" t="s">
        <v>109</v>
      </c>
      <c r="H15" s="10"/>
      <c r="I15" s="71" t="b">
        <v>0</v>
      </c>
      <c r="J15" s="71">
        <f t="shared" si="20"/>
        <v>4</v>
      </c>
      <c r="K15" s="85" t="str">
        <f t="shared" si="10"/>
        <v/>
      </c>
      <c r="L15" s="86" t="str">
        <f t="shared" si="11"/>
        <v/>
      </c>
      <c r="M15" s="87" t="e">
        <f t="shared" si="0"/>
        <v>#VALUE!</v>
      </c>
      <c r="N15" s="87" t="e">
        <f t="shared" si="16"/>
        <v>#VALUE!</v>
      </c>
      <c r="O15" s="79">
        <f t="shared" si="12"/>
        <v>0</v>
      </c>
      <c r="P15" s="88" t="str">
        <f>IF(I15=TRUE,SUMIFS(base!D$3:D$100,base!C$3:C$100,base!C9),"")</f>
        <v/>
      </c>
      <c r="Q15" s="79" t="str">
        <f t="shared" si="21"/>
        <v/>
      </c>
      <c r="R15" s="88" t="str">
        <f t="shared" si="2"/>
        <v/>
      </c>
      <c r="S15" s="92">
        <f t="shared" si="3"/>
        <v>43214.580479523807</v>
      </c>
      <c r="T15" s="90">
        <f t="shared" si="4"/>
        <v>13</v>
      </c>
      <c r="U15" s="91" t="s">
        <v>46</v>
      </c>
      <c r="V15" s="90">
        <f t="shared" si="18"/>
        <v>55</v>
      </c>
      <c r="W15" s="7"/>
      <c r="X15" s="7"/>
      <c r="Y15" s="8"/>
      <c r="Z15" s="93" t="str">
        <f t="shared" si="6"/>
        <v/>
      </c>
      <c r="AA15" s="94">
        <f t="shared" si="7"/>
        <v>0</v>
      </c>
      <c r="AB15" s="95">
        <f t="shared" si="8"/>
        <v>43214.580479523807</v>
      </c>
      <c r="AC15" s="78">
        <f t="shared" si="22"/>
        <v>13</v>
      </c>
      <c r="AD15" s="78" t="s">
        <v>46</v>
      </c>
      <c r="AE15" s="78">
        <f t="shared" si="23"/>
        <v>55</v>
      </c>
      <c r="AF15" s="10"/>
      <c r="AG15" s="10"/>
      <c r="AH15" s="10"/>
    </row>
    <row r="16" spans="1:36" ht="15.75" x14ac:dyDescent="0.25">
      <c r="A16" s="84" t="s">
        <v>62</v>
      </c>
      <c r="B16" s="78">
        <f>VLOOKUP(A16,base!A$3:B$100,2)</f>
        <v>49.9</v>
      </c>
      <c r="C16" s="79">
        <f t="shared" si="19"/>
        <v>1.5674642857142858</v>
      </c>
      <c r="D16" s="80">
        <f>VLOOKUP(A16,base!A$3:J$100,9)+Y16</f>
        <v>15.674642857142857</v>
      </c>
      <c r="E16" s="83">
        <f>E15+base!B10</f>
        <v>337.4</v>
      </c>
      <c r="F16" s="82" t="str">
        <f>base!F10</f>
        <v>7,2Km road</v>
      </c>
      <c r="G16" s="67" t="s">
        <v>109</v>
      </c>
      <c r="H16" s="10"/>
      <c r="I16" s="71" t="b">
        <v>1</v>
      </c>
      <c r="J16" s="71">
        <f t="shared" si="20"/>
        <v>4</v>
      </c>
      <c r="K16" s="85">
        <f t="shared" si="10"/>
        <v>93.9</v>
      </c>
      <c r="L16" s="86">
        <f t="shared" si="11"/>
        <v>3.226607142857143</v>
      </c>
      <c r="M16" s="87">
        <f t="shared" si="0"/>
        <v>9.4419642857142883E-2</v>
      </c>
      <c r="N16" s="87">
        <f t="shared" si="16"/>
        <v>3.0944196428571429</v>
      </c>
      <c r="O16" s="79">
        <f t="shared" si="12"/>
        <v>32.266071428571429</v>
      </c>
      <c r="P16" s="88">
        <f>IF(I16=TRUE,SUMIFS(base!D$3:D$100,base!C$3:C$100,base!C10),"")</f>
        <v>2175</v>
      </c>
      <c r="Q16" s="79">
        <f t="shared" si="21"/>
        <v>29.101776523327246</v>
      </c>
      <c r="R16" s="88">
        <f t="shared" si="2"/>
        <v>674.08268304831472</v>
      </c>
      <c r="S16" s="92">
        <f t="shared" si="3"/>
        <v>43217.674899166661</v>
      </c>
      <c r="T16" s="90">
        <f t="shared" si="4"/>
        <v>16</v>
      </c>
      <c r="U16" s="91" t="s">
        <v>46</v>
      </c>
      <c r="V16" s="90">
        <f t="shared" si="18"/>
        <v>11</v>
      </c>
      <c r="W16" s="7">
        <v>1</v>
      </c>
      <c r="X16" s="7"/>
      <c r="Y16" s="8"/>
      <c r="Z16" s="93" t="str">
        <f t="shared" si="6"/>
        <v/>
      </c>
      <c r="AA16" s="94">
        <f t="shared" si="7"/>
        <v>0.77339285714285699</v>
      </c>
      <c r="AB16" s="95">
        <f t="shared" si="8"/>
        <v>43218.291669999999</v>
      </c>
      <c r="AC16" s="78">
        <f t="shared" si="22"/>
        <v>7</v>
      </c>
      <c r="AD16" s="78" t="s">
        <v>46</v>
      </c>
      <c r="AE16" s="78">
        <f t="shared" si="23"/>
        <v>0</v>
      </c>
      <c r="AF16" s="9" t="s">
        <v>114</v>
      </c>
      <c r="AG16" s="10"/>
      <c r="AH16" s="10"/>
    </row>
    <row r="17" spans="1:34" ht="15.75" x14ac:dyDescent="0.25">
      <c r="A17" s="84" t="s">
        <v>65</v>
      </c>
      <c r="B17" s="78">
        <f>VLOOKUP(A17,base!A$3:B$100,2)</f>
        <v>103.8</v>
      </c>
      <c r="C17" s="79">
        <f t="shared" si="19"/>
        <v>3.7617142857142851</v>
      </c>
      <c r="D17" s="80">
        <f>VLOOKUP(A17,base!A$3:J$100,9)+Y17</f>
        <v>37.617142857142852</v>
      </c>
      <c r="E17" s="83">
        <f>E16+base!B11</f>
        <v>441.2</v>
      </c>
      <c r="F17" s="82" t="str">
        <f>base!F11</f>
        <v>8,7Km road</v>
      </c>
      <c r="G17" s="67" t="s">
        <v>109</v>
      </c>
      <c r="H17" s="10"/>
      <c r="I17" s="71" t="b">
        <v>0</v>
      </c>
      <c r="J17" s="71">
        <f t="shared" si="20"/>
        <v>5</v>
      </c>
      <c r="K17" s="85" t="str">
        <f t="shared" si="10"/>
        <v/>
      </c>
      <c r="L17" s="86" t="str">
        <f t="shared" si="11"/>
        <v/>
      </c>
      <c r="M17" s="87" t="e">
        <f t="shared" si="0"/>
        <v>#VALUE!</v>
      </c>
      <c r="N17" s="87" t="e">
        <f t="shared" si="16"/>
        <v>#VALUE!</v>
      </c>
      <c r="O17" s="79">
        <f t="shared" si="12"/>
        <v>0</v>
      </c>
      <c r="P17" s="88" t="str">
        <f>IF(I17=TRUE,SUMIFS(base!D$3:D$100,base!C$3:C$100,base!C11),"")</f>
        <v/>
      </c>
      <c r="Q17" s="79" t="str">
        <f t="shared" si="21"/>
        <v/>
      </c>
      <c r="R17" s="88" t="str">
        <f t="shared" si="2"/>
        <v/>
      </c>
      <c r="S17" s="92">
        <f t="shared" si="3"/>
        <v>43218.291669999999</v>
      </c>
      <c r="T17" s="90">
        <f t="shared" si="4"/>
        <v>7</v>
      </c>
      <c r="U17" s="91" t="s">
        <v>46</v>
      </c>
      <c r="V17" s="90">
        <f t="shared" si="18"/>
        <v>0</v>
      </c>
      <c r="W17" s="7"/>
      <c r="X17" s="7"/>
      <c r="Y17" s="8"/>
      <c r="Z17" s="93" t="str">
        <f t="shared" si="6"/>
        <v/>
      </c>
      <c r="AA17" s="94">
        <f t="shared" si="7"/>
        <v>0</v>
      </c>
      <c r="AB17" s="95">
        <f t="shared" si="8"/>
        <v>43218.291669999999</v>
      </c>
      <c r="AC17" s="78">
        <f t="shared" si="22"/>
        <v>7</v>
      </c>
      <c r="AD17" s="78" t="s">
        <v>46</v>
      </c>
      <c r="AE17" s="78">
        <f t="shared" si="23"/>
        <v>0</v>
      </c>
      <c r="AF17" s="10"/>
      <c r="AG17" s="10"/>
      <c r="AH17" s="10"/>
    </row>
    <row r="18" spans="1:34" ht="15.75" x14ac:dyDescent="0.25">
      <c r="A18" s="84" t="s">
        <v>71</v>
      </c>
      <c r="B18" s="78">
        <f>VLOOKUP(A18,base!A$3:B$100,2)</f>
        <v>62.8</v>
      </c>
      <c r="C18" s="79">
        <f t="shared" si="19"/>
        <v>1.8612857142857144</v>
      </c>
      <c r="D18" s="80">
        <f>VLOOKUP(A18,base!A$3:J$100,9)+Y18</f>
        <v>18.612857142857145</v>
      </c>
      <c r="E18" s="83">
        <f>E17+base!B12</f>
        <v>504</v>
      </c>
      <c r="F18" s="82">
        <f>base!F12</f>
        <v>0</v>
      </c>
      <c r="G18" s="67" t="s">
        <v>109</v>
      </c>
      <c r="H18" s="10"/>
      <c r="I18" s="71" t="b">
        <v>1</v>
      </c>
      <c r="J18" s="71">
        <f t="shared" si="20"/>
        <v>5</v>
      </c>
      <c r="K18" s="85">
        <f t="shared" si="10"/>
        <v>166.6</v>
      </c>
      <c r="L18" s="86">
        <f t="shared" si="11"/>
        <v>5.6229999999999993</v>
      </c>
      <c r="M18" s="87">
        <f t="shared" si="0"/>
        <v>0.25958333333333322</v>
      </c>
      <c r="N18" s="87">
        <f t="shared" si="16"/>
        <v>5.2595833333333335</v>
      </c>
      <c r="O18" s="79">
        <f t="shared" si="12"/>
        <v>56.23</v>
      </c>
      <c r="P18" s="88">
        <f>IF(I18=TRUE,SUMIFS(base!D$3:D$100,base!C$3:C$100,base!C12),"")</f>
        <v>3452</v>
      </c>
      <c r="Q18" s="79">
        <f t="shared" si="21"/>
        <v>29.628312288813802</v>
      </c>
      <c r="R18" s="88">
        <f t="shared" si="2"/>
        <v>613.90716699270854</v>
      </c>
      <c r="S18" s="92">
        <f t="shared" si="3"/>
        <v>43223.551253333331</v>
      </c>
      <c r="T18" s="90">
        <f t="shared" si="4"/>
        <v>13</v>
      </c>
      <c r="U18" s="91" t="s">
        <v>46</v>
      </c>
      <c r="V18" s="90">
        <f t="shared" si="18"/>
        <v>13</v>
      </c>
      <c r="W18" s="7">
        <v>1</v>
      </c>
      <c r="X18" s="7"/>
      <c r="Y18" s="8"/>
      <c r="Z18" s="93" t="str">
        <f t="shared" si="6"/>
        <v/>
      </c>
      <c r="AA18" s="94">
        <f t="shared" si="7"/>
        <v>0.37700000000000067</v>
      </c>
      <c r="AB18" s="95">
        <f t="shared" si="8"/>
        <v>43224.291669999999</v>
      </c>
      <c r="AC18" s="78">
        <f t="shared" si="22"/>
        <v>7</v>
      </c>
      <c r="AD18" s="78" t="s">
        <v>46</v>
      </c>
      <c r="AE18" s="78">
        <f t="shared" si="23"/>
        <v>0</v>
      </c>
      <c r="AF18" s="10"/>
      <c r="AG18" s="9" t="s">
        <v>114</v>
      </c>
      <c r="AH18" s="10"/>
    </row>
    <row r="19" spans="1:34" ht="15.75" x14ac:dyDescent="0.25">
      <c r="A19" s="84" t="s">
        <v>72</v>
      </c>
      <c r="B19" s="78">
        <f>VLOOKUP(A19,base!A$3:B$100,2)</f>
        <v>25</v>
      </c>
      <c r="C19" s="79">
        <f t="shared" si="19"/>
        <v>0.77953571428571433</v>
      </c>
      <c r="D19" s="80">
        <f>VLOOKUP(A19,base!A$3:J$100,9)+Y19</f>
        <v>7.7953571428571431</v>
      </c>
      <c r="E19" s="83">
        <f>E18+base!B13</f>
        <v>529</v>
      </c>
      <c r="F19" s="82">
        <f>base!F13</f>
        <v>0</v>
      </c>
      <c r="G19" s="67" t="s">
        <v>109</v>
      </c>
      <c r="H19" s="10"/>
      <c r="I19" s="71" t="b">
        <v>0</v>
      </c>
      <c r="J19" s="71">
        <f t="shared" si="20"/>
        <v>6</v>
      </c>
      <c r="K19" s="85" t="str">
        <f t="shared" si="10"/>
        <v/>
      </c>
      <c r="L19" s="86" t="str">
        <f t="shared" si="11"/>
        <v/>
      </c>
      <c r="M19" s="87" t="e">
        <f t="shared" si="0"/>
        <v>#VALUE!</v>
      </c>
      <c r="N19" s="87" t="e">
        <f t="shared" si="16"/>
        <v>#VALUE!</v>
      </c>
      <c r="O19" s="79">
        <f t="shared" si="12"/>
        <v>0</v>
      </c>
      <c r="P19" s="88" t="str">
        <f>IF(I19=TRUE,SUMIFS(base!D$3:D$100,base!C$3:C$100,base!C13),"")</f>
        <v/>
      </c>
      <c r="Q19" s="79" t="str">
        <f t="shared" si="21"/>
        <v/>
      </c>
      <c r="R19" s="88" t="str">
        <f t="shared" si="2"/>
        <v/>
      </c>
      <c r="S19" s="92">
        <f t="shared" si="3"/>
        <v>43224.291669999999</v>
      </c>
      <c r="T19" s="90">
        <f t="shared" si="4"/>
        <v>7</v>
      </c>
      <c r="U19" s="91" t="s">
        <v>46</v>
      </c>
      <c r="V19" s="90">
        <f t="shared" si="18"/>
        <v>0</v>
      </c>
      <c r="W19" s="7"/>
      <c r="X19" s="7"/>
      <c r="Y19" s="8"/>
      <c r="Z19" s="93" t="str">
        <f t="shared" si="6"/>
        <v/>
      </c>
      <c r="AA19" s="94">
        <f t="shared" si="7"/>
        <v>0</v>
      </c>
      <c r="AB19" s="95">
        <f t="shared" si="8"/>
        <v>43224.291669999999</v>
      </c>
      <c r="AC19" s="78">
        <f t="shared" si="22"/>
        <v>7</v>
      </c>
      <c r="AD19" s="78" t="s">
        <v>46</v>
      </c>
      <c r="AE19" s="78">
        <f t="shared" si="23"/>
        <v>0</v>
      </c>
      <c r="AF19" s="10"/>
      <c r="AG19" s="10"/>
      <c r="AH19" s="9"/>
    </row>
    <row r="20" spans="1:34" ht="15.75" x14ac:dyDescent="0.25">
      <c r="A20" s="84" t="s">
        <v>73</v>
      </c>
      <c r="B20" s="78">
        <f>VLOOKUP(A20,base!A$3:B$100,2)</f>
        <v>21.7</v>
      </c>
      <c r="C20" s="79">
        <f t="shared" si="19"/>
        <v>0.69900000000000007</v>
      </c>
      <c r="D20" s="80">
        <f>VLOOKUP(A20,base!A$3:J$100,9)+Y20</f>
        <v>6.99</v>
      </c>
      <c r="E20" s="83">
        <f>E19+base!B14</f>
        <v>550.70000000000005</v>
      </c>
      <c r="F20" s="82" t="str">
        <f>base!F14</f>
        <v>0,6Km road</v>
      </c>
      <c r="G20" s="67" t="s">
        <v>109</v>
      </c>
      <c r="H20" s="10"/>
      <c r="I20" s="71" t="b">
        <v>0</v>
      </c>
      <c r="J20" s="71">
        <f t="shared" si="20"/>
        <v>6</v>
      </c>
      <c r="K20" s="85" t="str">
        <f t="shared" si="10"/>
        <v/>
      </c>
      <c r="L20" s="86" t="str">
        <f t="shared" si="11"/>
        <v/>
      </c>
      <c r="M20" s="87" t="e">
        <f t="shared" si="0"/>
        <v>#VALUE!</v>
      </c>
      <c r="N20" s="87" t="e">
        <f t="shared" si="16"/>
        <v>#VALUE!</v>
      </c>
      <c r="O20" s="79">
        <f t="shared" si="12"/>
        <v>0</v>
      </c>
      <c r="P20" s="88" t="str">
        <f>IF(I20=TRUE,SUMIFS(base!D$3:D$100,base!C$3:C$100,base!C14),"")</f>
        <v/>
      </c>
      <c r="Q20" s="79" t="str">
        <f t="shared" si="21"/>
        <v/>
      </c>
      <c r="R20" s="88" t="str">
        <f t="shared" si="2"/>
        <v/>
      </c>
      <c r="S20" s="92">
        <f t="shared" si="3"/>
        <v>43224.291669999999</v>
      </c>
      <c r="T20" s="90">
        <f t="shared" si="4"/>
        <v>7</v>
      </c>
      <c r="U20" s="91" t="s">
        <v>46</v>
      </c>
      <c r="V20" s="90">
        <f t="shared" si="18"/>
        <v>0</v>
      </c>
      <c r="W20" s="7"/>
      <c r="X20" s="7"/>
      <c r="Y20" s="8"/>
      <c r="Z20" s="93" t="str">
        <f t="shared" si="6"/>
        <v/>
      </c>
      <c r="AA20" s="94">
        <f t="shared" si="7"/>
        <v>0</v>
      </c>
      <c r="AB20" s="95">
        <f t="shared" si="8"/>
        <v>43224.291669999999</v>
      </c>
      <c r="AC20" s="78">
        <f t="shared" si="22"/>
        <v>7</v>
      </c>
      <c r="AD20" s="78" t="s">
        <v>46</v>
      </c>
      <c r="AE20" s="78">
        <f t="shared" si="23"/>
        <v>0</v>
      </c>
      <c r="AF20" s="10"/>
      <c r="AG20" s="10"/>
      <c r="AH20" s="10"/>
    </row>
    <row r="21" spans="1:34" ht="15.75" x14ac:dyDescent="0.25">
      <c r="A21" s="84" t="s">
        <v>76</v>
      </c>
      <c r="B21" s="78">
        <f>VLOOKUP(A21,base!A$3:B$100,2)</f>
        <v>34.6</v>
      </c>
      <c r="C21" s="79">
        <f t="shared" si="19"/>
        <v>1.3940714285714286</v>
      </c>
      <c r="D21" s="80">
        <f>VLOOKUP(A21,base!A$3:J$100,9)+Y21</f>
        <v>13.940714285714286</v>
      </c>
      <c r="E21" s="83">
        <f>E20+base!B15</f>
        <v>585.30000000000007</v>
      </c>
      <c r="F21" s="82" t="str">
        <f>base!F15</f>
        <v>5,8Km trail</v>
      </c>
      <c r="G21" s="67" t="s">
        <v>109</v>
      </c>
      <c r="H21" s="10"/>
      <c r="I21" s="71" t="b">
        <v>1</v>
      </c>
      <c r="J21" s="71">
        <f t="shared" si="20"/>
        <v>6</v>
      </c>
      <c r="K21" s="85">
        <f t="shared" si="10"/>
        <v>81.300000000000011</v>
      </c>
      <c r="L21" s="86">
        <f t="shared" si="11"/>
        <v>2.8726071428571434</v>
      </c>
      <c r="M21" s="87">
        <f t="shared" si="0"/>
        <v>0.3635863095238096</v>
      </c>
      <c r="N21" s="87">
        <f t="shared" si="16"/>
        <v>2.3635863095238094</v>
      </c>
      <c r="O21" s="79">
        <f t="shared" si="12"/>
        <v>28.72607142857143</v>
      </c>
      <c r="P21" s="88">
        <f>IF(I21=TRUE,SUMIFS(base!D$3:D$100,base!C$3:C$100,base!C15),"")</f>
        <v>2199</v>
      </c>
      <c r="Q21" s="79">
        <f t="shared" si="21"/>
        <v>28.301816418634143</v>
      </c>
      <c r="R21" s="88">
        <f t="shared" si="2"/>
        <v>765.50669501324069</v>
      </c>
      <c r="S21" s="92">
        <f t="shared" si="3"/>
        <v>43226.655256309525</v>
      </c>
      <c r="T21" s="90">
        <f t="shared" si="4"/>
        <v>15</v>
      </c>
      <c r="U21" s="91" t="s">
        <v>46</v>
      </c>
      <c r="V21" s="90">
        <f t="shared" si="18"/>
        <v>43</v>
      </c>
      <c r="W21" s="7">
        <v>1</v>
      </c>
      <c r="X21" s="7"/>
      <c r="Y21" s="8"/>
      <c r="Z21" s="93" t="str">
        <f t="shared" si="6"/>
        <v/>
      </c>
      <c r="AA21" s="94">
        <f t="shared" si="7"/>
        <v>0.12739285714285664</v>
      </c>
      <c r="AB21" s="95">
        <f t="shared" si="8"/>
        <v>43227.291669999999</v>
      </c>
      <c r="AC21" s="78">
        <f t="shared" si="22"/>
        <v>7</v>
      </c>
      <c r="AD21" s="78" t="s">
        <v>46</v>
      </c>
      <c r="AE21" s="78">
        <f t="shared" si="23"/>
        <v>0</v>
      </c>
      <c r="AF21" s="10"/>
      <c r="AG21" s="10"/>
      <c r="AH21" s="10"/>
    </row>
    <row r="22" spans="1:34" ht="15.75" x14ac:dyDescent="0.25">
      <c r="A22" s="84" t="s">
        <v>79</v>
      </c>
      <c r="B22" s="78">
        <f>VLOOKUP(A22,base!A$3:B$100,2)</f>
        <v>129.80000000000001</v>
      </c>
      <c r="C22" s="79">
        <f t="shared" si="19"/>
        <v>4.4120714285714282</v>
      </c>
      <c r="D22" s="80">
        <f>VLOOKUP(A22,base!A$3:J$100,9)+Y22</f>
        <v>44.120714285714286</v>
      </c>
      <c r="E22" s="83">
        <f>E21+base!B16</f>
        <v>715.10000000000014</v>
      </c>
      <c r="F22" s="82" t="str">
        <f>base!F16</f>
        <v>9,5Km road</v>
      </c>
      <c r="G22" s="67" t="s">
        <v>109</v>
      </c>
      <c r="H22" s="10"/>
      <c r="I22" s="71" t="b">
        <v>0</v>
      </c>
      <c r="J22" s="71">
        <f t="shared" si="20"/>
        <v>7</v>
      </c>
      <c r="K22" s="85" t="str">
        <f t="shared" si="10"/>
        <v/>
      </c>
      <c r="L22" s="86" t="str">
        <f t="shared" si="11"/>
        <v/>
      </c>
      <c r="M22" s="87" t="e">
        <f t="shared" si="0"/>
        <v>#VALUE!</v>
      </c>
      <c r="N22" s="87" t="e">
        <f t="shared" si="16"/>
        <v>#VALUE!</v>
      </c>
      <c r="O22" s="79">
        <f t="shared" si="12"/>
        <v>0</v>
      </c>
      <c r="P22" s="88" t="str">
        <f>IF(I22=TRUE,SUMIFS(base!D$3:D$100,base!C$3:C$100,base!C16),"")</f>
        <v/>
      </c>
      <c r="Q22" s="79" t="str">
        <f t="shared" si="21"/>
        <v/>
      </c>
      <c r="R22" s="88" t="str">
        <f t="shared" si="2"/>
        <v/>
      </c>
      <c r="S22" s="92">
        <f t="shared" si="3"/>
        <v>43227.291669999999</v>
      </c>
      <c r="T22" s="90">
        <f t="shared" si="4"/>
        <v>7</v>
      </c>
      <c r="U22" s="91" t="s">
        <v>46</v>
      </c>
      <c r="V22" s="90">
        <f t="shared" si="18"/>
        <v>0</v>
      </c>
      <c r="W22" s="7"/>
      <c r="X22" s="7"/>
      <c r="Y22" s="8"/>
      <c r="Z22" s="93" t="str">
        <f t="shared" si="6"/>
        <v/>
      </c>
      <c r="AA22" s="94">
        <f t="shared" si="7"/>
        <v>0</v>
      </c>
      <c r="AB22" s="95">
        <f t="shared" si="8"/>
        <v>43227.291669999999</v>
      </c>
      <c r="AC22" s="78">
        <f t="shared" si="22"/>
        <v>7</v>
      </c>
      <c r="AD22" s="78" t="s">
        <v>46</v>
      </c>
      <c r="AE22" s="78">
        <f t="shared" si="23"/>
        <v>0</v>
      </c>
      <c r="AF22" s="10"/>
      <c r="AG22" s="10"/>
      <c r="AH22" s="10"/>
    </row>
    <row r="23" spans="1:34" ht="15.75" x14ac:dyDescent="0.25">
      <c r="A23" s="84" t="s">
        <v>82</v>
      </c>
      <c r="B23" s="78">
        <f>VLOOKUP(A23,base!A$3:B$100,2)</f>
        <v>16.399999999999999</v>
      </c>
      <c r="C23" s="79">
        <f t="shared" si="19"/>
        <v>0.57382142857142848</v>
      </c>
      <c r="D23" s="80">
        <f>VLOOKUP(A23,base!A$3:J$100,9)+Y23</f>
        <v>5.7382142857142853</v>
      </c>
      <c r="E23" s="83">
        <f>E22+base!B17</f>
        <v>731.50000000000011</v>
      </c>
      <c r="F23" s="82" t="str">
        <f>base!F17</f>
        <v>0km</v>
      </c>
      <c r="G23" s="67" t="s">
        <v>109</v>
      </c>
      <c r="H23" s="10"/>
      <c r="I23" s="71" t="b">
        <v>0</v>
      </c>
      <c r="J23" s="71">
        <f t="shared" si="20"/>
        <v>7</v>
      </c>
      <c r="K23" s="85" t="str">
        <f t="shared" si="10"/>
        <v/>
      </c>
      <c r="L23" s="86" t="str">
        <f t="shared" si="11"/>
        <v/>
      </c>
      <c r="M23" s="87" t="e">
        <f t="shared" si="0"/>
        <v>#VALUE!</v>
      </c>
      <c r="N23" s="87" t="e">
        <f t="shared" si="16"/>
        <v>#VALUE!</v>
      </c>
      <c r="O23" s="79">
        <f t="shared" si="12"/>
        <v>0</v>
      </c>
      <c r="P23" s="88" t="str">
        <f>IF(I23=TRUE,SUMIFS(base!D$3:D$100,base!C$3:C$100,base!C17),"")</f>
        <v/>
      </c>
      <c r="Q23" s="79" t="str">
        <f t="shared" si="21"/>
        <v/>
      </c>
      <c r="R23" s="88" t="str">
        <f t="shared" si="2"/>
        <v/>
      </c>
      <c r="S23" s="92">
        <f t="shared" si="3"/>
        <v>43227.291669999999</v>
      </c>
      <c r="T23" s="90">
        <f t="shared" si="4"/>
        <v>7</v>
      </c>
      <c r="U23" s="91" t="s">
        <v>46</v>
      </c>
      <c r="V23" s="90">
        <f t="shared" si="18"/>
        <v>0</v>
      </c>
      <c r="W23" s="7"/>
      <c r="X23" s="7"/>
      <c r="Y23" s="8"/>
      <c r="Z23" s="93" t="str">
        <f t="shared" si="6"/>
        <v/>
      </c>
      <c r="AA23" s="94">
        <f t="shared" si="7"/>
        <v>0</v>
      </c>
      <c r="AB23" s="95">
        <f t="shared" si="8"/>
        <v>43227.291669999999</v>
      </c>
      <c r="AC23" s="78">
        <f t="shared" si="22"/>
        <v>7</v>
      </c>
      <c r="AD23" s="78" t="s">
        <v>46</v>
      </c>
      <c r="AE23" s="78">
        <f t="shared" si="23"/>
        <v>0</v>
      </c>
      <c r="AF23" s="10"/>
      <c r="AG23" s="10"/>
      <c r="AH23" s="10"/>
    </row>
    <row r="24" spans="1:34" ht="15.75" x14ac:dyDescent="0.25">
      <c r="A24" s="84" t="s">
        <v>84</v>
      </c>
      <c r="B24" s="78">
        <f>VLOOKUP(A24,base!A$3:B$100,2)</f>
        <v>39</v>
      </c>
      <c r="C24" s="79">
        <f t="shared" si="19"/>
        <v>1.3520357142857142</v>
      </c>
      <c r="D24" s="80">
        <f>VLOOKUP(A24,base!A$3:J$100,9)+Y24</f>
        <v>13.520357142857142</v>
      </c>
      <c r="E24" s="83">
        <f>E23+base!B18</f>
        <v>770.50000000000011</v>
      </c>
      <c r="F24" s="82" t="str">
        <f>base!F18</f>
        <v>3,2Km road</v>
      </c>
      <c r="G24" s="67" t="s">
        <v>109</v>
      </c>
      <c r="H24" s="10"/>
      <c r="I24" s="71" t="b">
        <v>1</v>
      </c>
      <c r="J24" s="71">
        <f t="shared" si="20"/>
        <v>7</v>
      </c>
      <c r="K24" s="85">
        <f t="shared" si="10"/>
        <v>185.20000000000002</v>
      </c>
      <c r="L24" s="86">
        <f t="shared" si="11"/>
        <v>6.3379285714285709</v>
      </c>
      <c r="M24" s="87">
        <f t="shared" si="0"/>
        <v>0.14080357142857144</v>
      </c>
      <c r="N24" s="87">
        <f t="shared" si="16"/>
        <v>6.1408035714285711</v>
      </c>
      <c r="O24" s="79">
        <f t="shared" si="12"/>
        <v>63.379285714285714</v>
      </c>
      <c r="P24" s="88">
        <f>IF(I24=TRUE,SUMIFS(base!D$3:D$100,base!C$3:C$100,base!C18),"")</f>
        <v>4186</v>
      </c>
      <c r="Q24" s="79">
        <f t="shared" si="21"/>
        <v>29.220903630072922</v>
      </c>
      <c r="R24" s="88">
        <f t="shared" si="2"/>
        <v>660.46815656309525</v>
      </c>
      <c r="S24" s="92">
        <f t="shared" si="3"/>
        <v>43233.432473571425</v>
      </c>
      <c r="T24" s="90">
        <f t="shared" si="4"/>
        <v>10</v>
      </c>
      <c r="U24" s="91" t="s">
        <v>46</v>
      </c>
      <c r="V24" s="90">
        <f t="shared" si="18"/>
        <v>22</v>
      </c>
      <c r="W24" s="7"/>
      <c r="X24" s="7"/>
      <c r="Y24" s="8"/>
      <c r="Z24" s="93" t="str">
        <f t="shared" si="6"/>
        <v>&lt;= !</v>
      </c>
      <c r="AA24" s="94">
        <f t="shared" si="7"/>
        <v>0</v>
      </c>
      <c r="AB24" s="95">
        <f t="shared" si="8"/>
        <v>43233.432473571425</v>
      </c>
      <c r="AC24" s="78">
        <f t="shared" si="22"/>
        <v>10</v>
      </c>
      <c r="AD24" s="78" t="s">
        <v>46</v>
      </c>
      <c r="AE24" s="78">
        <f t="shared" si="23"/>
        <v>22</v>
      </c>
      <c r="AF24" s="10"/>
      <c r="AG24" s="10"/>
      <c r="AH24" s="10"/>
    </row>
    <row r="25" spans="1:34" ht="15.75" x14ac:dyDescent="0.25">
      <c r="A25" s="84" t="s">
        <v>87</v>
      </c>
      <c r="B25" s="78">
        <f>VLOOKUP(A25,base!A$3:B$100,2)</f>
        <v>64.099999999999994</v>
      </c>
      <c r="C25" s="79">
        <f t="shared" si="19"/>
        <v>2.1701785714285711</v>
      </c>
      <c r="D25" s="80">
        <f>VLOOKUP(A25,base!A$3:J$100,9)+Y25</f>
        <v>21.701785714285712</v>
      </c>
      <c r="E25" s="83">
        <f>E24+base!B19</f>
        <v>834.60000000000014</v>
      </c>
      <c r="F25" s="82" t="str">
        <f>base!F19</f>
        <v>0Km</v>
      </c>
      <c r="G25" s="67" t="s">
        <v>109</v>
      </c>
      <c r="H25" s="10"/>
      <c r="I25" s="71" t="b">
        <v>0</v>
      </c>
      <c r="J25" s="71">
        <f t="shared" si="20"/>
        <v>8</v>
      </c>
      <c r="K25" s="85" t="str">
        <f t="shared" si="10"/>
        <v/>
      </c>
      <c r="L25" s="86" t="str">
        <f t="shared" si="11"/>
        <v/>
      </c>
      <c r="M25" s="87" t="e">
        <f t="shared" si="0"/>
        <v>#VALUE!</v>
      </c>
      <c r="N25" s="87" t="e">
        <f t="shared" si="16"/>
        <v>#VALUE!</v>
      </c>
      <c r="O25" s="79">
        <f t="shared" si="12"/>
        <v>0</v>
      </c>
      <c r="P25" s="88" t="str">
        <f>IF(I25=TRUE,SUMIFS(base!D$3:D$100,base!C$3:C$100,base!C19),"")</f>
        <v/>
      </c>
      <c r="Q25" s="79" t="str">
        <f t="shared" si="21"/>
        <v/>
      </c>
      <c r="R25" s="88" t="str">
        <f t="shared" si="2"/>
        <v/>
      </c>
      <c r="S25" s="92">
        <f t="shared" si="3"/>
        <v>43233.432473571425</v>
      </c>
      <c r="T25" s="90">
        <f t="shared" si="4"/>
        <v>10</v>
      </c>
      <c r="U25" s="91" t="s">
        <v>46</v>
      </c>
      <c r="V25" s="90">
        <f t="shared" si="18"/>
        <v>22</v>
      </c>
      <c r="W25" s="7"/>
      <c r="X25" s="7"/>
      <c r="Y25" s="8"/>
      <c r="Z25" s="93" t="str">
        <f t="shared" si="6"/>
        <v/>
      </c>
      <c r="AA25" s="94">
        <f t="shared" si="7"/>
        <v>0</v>
      </c>
      <c r="AB25" s="95">
        <f t="shared" si="8"/>
        <v>43233.432473571425</v>
      </c>
      <c r="AC25" s="78">
        <f t="shared" si="22"/>
        <v>10</v>
      </c>
      <c r="AD25" s="78" t="s">
        <v>46</v>
      </c>
      <c r="AE25" s="78">
        <f t="shared" si="23"/>
        <v>22</v>
      </c>
      <c r="AF25" s="10"/>
      <c r="AG25" s="10"/>
      <c r="AH25" s="10"/>
    </row>
    <row r="26" spans="1:34" ht="15.75" x14ac:dyDescent="0.25">
      <c r="A26" s="84" t="s">
        <v>88</v>
      </c>
      <c r="B26" s="78">
        <f>VLOOKUP(A26,base!A$3:B$100,2)</f>
        <v>64.2</v>
      </c>
      <c r="C26" s="79">
        <f t="shared" si="19"/>
        <v>2.1285357142857144</v>
      </c>
      <c r="D26" s="80">
        <f>VLOOKUP(A26,base!A$3:J$100,9)+Y26</f>
        <v>21.285357142857144</v>
      </c>
      <c r="E26" s="83">
        <f>E25+base!B20</f>
        <v>898.80000000000018</v>
      </c>
      <c r="F26" s="82" t="str">
        <f>base!F20</f>
        <v>14,8Km road</v>
      </c>
      <c r="G26" s="67" t="s">
        <v>109</v>
      </c>
      <c r="H26" s="10"/>
      <c r="I26" s="71" t="b">
        <v>1</v>
      </c>
      <c r="J26" s="71">
        <f t="shared" si="20"/>
        <v>8</v>
      </c>
      <c r="K26" s="85">
        <f t="shared" si="10"/>
        <v>128.30000000000001</v>
      </c>
      <c r="L26" s="86">
        <f t="shared" si="11"/>
        <v>4.2987142857142855</v>
      </c>
      <c r="M26" s="87">
        <f t="shared" si="0"/>
        <v>0.12446428571428569</v>
      </c>
      <c r="N26" s="87">
        <f t="shared" si="16"/>
        <v>4.1244642857142857</v>
      </c>
      <c r="O26" s="79">
        <f t="shared" si="12"/>
        <v>42.987142857142857</v>
      </c>
      <c r="P26" s="88">
        <f>IF(I26=TRUE,SUMIFS(base!D$3:D$100,base!C$3:C$100,base!C20),"")</f>
        <v>2532</v>
      </c>
      <c r="Q26" s="79">
        <f t="shared" si="21"/>
        <v>29.846133395367389</v>
      </c>
      <c r="R26" s="88">
        <f t="shared" si="2"/>
        <v>589.01332624372742</v>
      </c>
      <c r="S26" s="92">
        <f t="shared" si="3"/>
        <v>43237.556937857138</v>
      </c>
      <c r="T26" s="90">
        <f t="shared" si="4"/>
        <v>13</v>
      </c>
      <c r="U26" s="91" t="s">
        <v>46</v>
      </c>
      <c r="V26" s="90">
        <f t="shared" si="18"/>
        <v>21</v>
      </c>
      <c r="W26" s="7">
        <v>1</v>
      </c>
      <c r="X26" s="7"/>
      <c r="Y26" s="8"/>
      <c r="Z26" s="93" t="str">
        <f t="shared" si="6"/>
        <v/>
      </c>
      <c r="AA26" s="94">
        <f t="shared" si="7"/>
        <v>0.70128571428571451</v>
      </c>
      <c r="AB26" s="95">
        <f t="shared" si="8"/>
        <v>43238.291669999999</v>
      </c>
      <c r="AC26" s="78">
        <f t="shared" si="22"/>
        <v>7</v>
      </c>
      <c r="AD26" s="78" t="s">
        <v>46</v>
      </c>
      <c r="AE26" s="78">
        <f t="shared" si="23"/>
        <v>0</v>
      </c>
      <c r="AF26" s="9" t="s">
        <v>114</v>
      </c>
      <c r="AG26" s="10"/>
      <c r="AH26" s="10"/>
    </row>
    <row r="27" spans="1:34" ht="15.75" x14ac:dyDescent="0.25">
      <c r="A27" s="84" t="s">
        <v>91</v>
      </c>
      <c r="B27" s="78">
        <f>VLOOKUP(A27,base!A$3:B$100,2)</f>
        <v>150.9</v>
      </c>
      <c r="C27" s="79">
        <f t="shared" si="19"/>
        <v>5.0004285714285714</v>
      </c>
      <c r="D27" s="80">
        <f>VLOOKUP(A27,base!A$3:J$100,9)+Y27</f>
        <v>50.004285714285714</v>
      </c>
      <c r="E27" s="83">
        <f>E26+base!B21</f>
        <v>1049.7000000000003</v>
      </c>
      <c r="F27" s="82" t="str">
        <f>base!F21</f>
        <v>28,5Km road</v>
      </c>
      <c r="G27" s="67" t="s">
        <v>109</v>
      </c>
      <c r="H27" s="10"/>
      <c r="I27" s="71" t="b">
        <v>1</v>
      </c>
      <c r="J27" s="71">
        <f t="shared" si="20"/>
        <v>9</v>
      </c>
      <c r="K27" s="85">
        <f t="shared" si="10"/>
        <v>150.9</v>
      </c>
      <c r="L27" s="86">
        <f t="shared" si="11"/>
        <v>5.0004285714285714</v>
      </c>
      <c r="M27" s="87">
        <f t="shared" si="0"/>
        <v>1.7857142857143535E-4</v>
      </c>
      <c r="N27" s="87">
        <f t="shared" si="16"/>
        <v>5.0001785714285711</v>
      </c>
      <c r="O27" s="79">
        <f t="shared" si="12"/>
        <v>50.004285714285714</v>
      </c>
      <c r="P27" s="88">
        <f>IF(I27=TRUE,SUMIFS(base!D$3:D$100,base!C$3:C$100,base!C21),"")</f>
        <v>2756</v>
      </c>
      <c r="Q27" s="79">
        <f t="shared" si="21"/>
        <v>30.177413364568753</v>
      </c>
      <c r="R27" s="88">
        <f t="shared" si="2"/>
        <v>551.15275833499982</v>
      </c>
      <c r="S27" s="92">
        <f t="shared" si="3"/>
        <v>43243.291848571425</v>
      </c>
      <c r="T27" s="90">
        <f t="shared" si="4"/>
        <v>7</v>
      </c>
      <c r="U27" s="91" t="s">
        <v>46</v>
      </c>
      <c r="V27" s="90">
        <f t="shared" si="18"/>
        <v>0</v>
      </c>
      <c r="W27" s="7">
        <v>1</v>
      </c>
      <c r="X27" s="7"/>
      <c r="Y27" s="8"/>
      <c r="Z27" s="93" t="str">
        <f t="shared" si="6"/>
        <v/>
      </c>
      <c r="AA27" s="94">
        <f t="shared" si="7"/>
        <v>0.99957142857142856</v>
      </c>
      <c r="AB27" s="95">
        <f t="shared" si="8"/>
        <v>43244.291669999999</v>
      </c>
      <c r="AC27" s="78">
        <f t="shared" si="22"/>
        <v>7</v>
      </c>
      <c r="AD27" s="78" t="s">
        <v>46</v>
      </c>
      <c r="AE27" s="78">
        <f t="shared" si="23"/>
        <v>0</v>
      </c>
      <c r="AF27" s="10"/>
      <c r="AG27" s="9" t="s">
        <v>114</v>
      </c>
      <c r="AH27" s="10">
        <v>2</v>
      </c>
    </row>
    <row r="28" spans="1:34" ht="15.75" x14ac:dyDescent="0.25">
      <c r="A28" s="84" t="s">
        <v>94</v>
      </c>
      <c r="B28" s="78">
        <f>VLOOKUP(A28,base!A$3:B$100,2)</f>
        <v>81.8</v>
      </c>
      <c r="C28" s="79">
        <f t="shared" si="19"/>
        <v>2.8681428571428569</v>
      </c>
      <c r="D28" s="80">
        <f>VLOOKUP(A28,base!A$3:J$100,9)+Y28</f>
        <v>28.681428571428569</v>
      </c>
      <c r="E28" s="83">
        <f>E27+base!B22</f>
        <v>1131.5000000000002</v>
      </c>
      <c r="F28" s="82" t="str">
        <f>base!F22</f>
        <v>0,8Km road</v>
      </c>
      <c r="G28" s="67" t="s">
        <v>109</v>
      </c>
      <c r="H28" s="10"/>
      <c r="I28" s="71" t="b">
        <v>0</v>
      </c>
      <c r="J28" s="71">
        <f t="shared" si="20"/>
        <v>10</v>
      </c>
      <c r="K28" s="85" t="str">
        <f t="shared" si="10"/>
        <v/>
      </c>
      <c r="L28" s="86" t="str">
        <f t="shared" si="11"/>
        <v/>
      </c>
      <c r="M28" s="87" t="e">
        <f t="shared" si="0"/>
        <v>#VALUE!</v>
      </c>
      <c r="N28" s="87" t="e">
        <f t="shared" si="16"/>
        <v>#VALUE!</v>
      </c>
      <c r="O28" s="79">
        <f t="shared" si="12"/>
        <v>0</v>
      </c>
      <c r="P28" s="88" t="str">
        <f>IF(I28=TRUE,SUMIFS(base!D$3:D$100,base!C$3:C$100,base!C22),"")</f>
        <v/>
      </c>
      <c r="Q28" s="79" t="str">
        <f t="shared" si="21"/>
        <v/>
      </c>
      <c r="R28" s="88" t="str">
        <f t="shared" si="2"/>
        <v/>
      </c>
      <c r="S28" s="92">
        <f t="shared" si="3"/>
        <v>43244.291669999999</v>
      </c>
      <c r="T28" s="90">
        <f t="shared" si="4"/>
        <v>7</v>
      </c>
      <c r="U28" s="91" t="s">
        <v>46</v>
      </c>
      <c r="V28" s="90">
        <f t="shared" si="18"/>
        <v>0</v>
      </c>
      <c r="W28" s="7"/>
      <c r="X28" s="7"/>
      <c r="Y28" s="8"/>
      <c r="Z28" s="93" t="str">
        <f t="shared" si="6"/>
        <v/>
      </c>
      <c r="AA28" s="94">
        <f t="shared" si="7"/>
        <v>0</v>
      </c>
      <c r="AB28" s="95">
        <f t="shared" si="8"/>
        <v>43244.291669999999</v>
      </c>
      <c r="AC28" s="78">
        <f t="shared" si="22"/>
        <v>7</v>
      </c>
      <c r="AD28" s="78" t="s">
        <v>46</v>
      </c>
      <c r="AE28" s="78">
        <f t="shared" si="23"/>
        <v>0</v>
      </c>
      <c r="AF28" s="10"/>
      <c r="AG28" s="10"/>
      <c r="AH28" s="10"/>
    </row>
    <row r="29" spans="1:34" ht="15.75" x14ac:dyDescent="0.25">
      <c r="A29" s="84" t="s">
        <v>97</v>
      </c>
      <c r="B29" s="78">
        <f>VLOOKUP(A29,base!A$3:B$100,2)</f>
        <v>67.599999999999994</v>
      </c>
      <c r="C29" s="79">
        <f t="shared" si="19"/>
        <v>2.5039285714285713</v>
      </c>
      <c r="D29" s="80">
        <f>VLOOKUP(A29,base!A$3:J$100,9)+Y29</f>
        <v>25.039285714285715</v>
      </c>
      <c r="E29" s="83">
        <f>E28+base!B23</f>
        <v>1199.1000000000001</v>
      </c>
      <c r="F29" s="82" t="str">
        <f>base!F23</f>
        <v>2,7Km trail + 29Km road</v>
      </c>
      <c r="G29" s="67" t="s">
        <v>109</v>
      </c>
      <c r="H29" s="10"/>
      <c r="I29" s="71" t="b">
        <v>0</v>
      </c>
      <c r="J29" s="71">
        <f t="shared" si="20"/>
        <v>10</v>
      </c>
      <c r="K29" s="85" t="str">
        <f t="shared" si="10"/>
        <v/>
      </c>
      <c r="L29" s="86" t="str">
        <f t="shared" si="11"/>
        <v/>
      </c>
      <c r="M29" s="87" t="e">
        <f t="shared" si="0"/>
        <v>#VALUE!</v>
      </c>
      <c r="N29" s="87" t="e">
        <f t="shared" si="16"/>
        <v>#VALUE!</v>
      </c>
      <c r="O29" s="79">
        <f t="shared" si="12"/>
        <v>0</v>
      </c>
      <c r="P29" s="88" t="str">
        <f>IF(I29=TRUE,SUMIFS(base!D$3:D$100,base!C$3:C$100,base!C23),"")</f>
        <v/>
      </c>
      <c r="Q29" s="79" t="str">
        <f t="shared" si="21"/>
        <v/>
      </c>
      <c r="R29" s="88" t="str">
        <f t="shared" si="2"/>
        <v/>
      </c>
      <c r="S29" s="92">
        <f t="shared" si="3"/>
        <v>43244.291669999999</v>
      </c>
      <c r="T29" s="90">
        <f t="shared" si="4"/>
        <v>7</v>
      </c>
      <c r="U29" s="91" t="s">
        <v>46</v>
      </c>
      <c r="V29" s="90">
        <f t="shared" si="18"/>
        <v>0</v>
      </c>
      <c r="W29" s="7"/>
      <c r="X29" s="7"/>
      <c r="Y29" s="8"/>
      <c r="Z29" s="93" t="str">
        <f t="shared" si="6"/>
        <v/>
      </c>
      <c r="AA29" s="94">
        <f t="shared" si="7"/>
        <v>0</v>
      </c>
      <c r="AB29" s="95">
        <f t="shared" si="8"/>
        <v>43244.291669999999</v>
      </c>
      <c r="AC29" s="78">
        <f t="shared" si="22"/>
        <v>7</v>
      </c>
      <c r="AD29" s="78" t="s">
        <v>46</v>
      </c>
      <c r="AE29" s="78">
        <f t="shared" si="23"/>
        <v>0</v>
      </c>
      <c r="AF29" s="10"/>
      <c r="AG29" s="10"/>
      <c r="AH29" s="10"/>
    </row>
    <row r="30" spans="1:34" ht="15.75" x14ac:dyDescent="0.25">
      <c r="A30" s="84" t="s">
        <v>100</v>
      </c>
      <c r="B30" s="78">
        <f>VLOOKUP(A30,base!A$3:B$100,2)</f>
        <v>73.099999999999994</v>
      </c>
      <c r="C30" s="79">
        <f t="shared" si="19"/>
        <v>2.6048214285714284</v>
      </c>
      <c r="D30" s="80">
        <f>VLOOKUP(A30,base!A$3:J$100,9)+Y30</f>
        <v>26.048214285714284</v>
      </c>
      <c r="E30" s="83">
        <f>E29+base!B24</f>
        <v>1272.2</v>
      </c>
      <c r="F30" s="82" t="str">
        <f>base!F24</f>
        <v>11,7Km trail +20,9Km road</v>
      </c>
      <c r="G30" s="67" t="s">
        <v>109</v>
      </c>
      <c r="H30" s="10"/>
      <c r="I30" s="71" t="b">
        <v>1</v>
      </c>
      <c r="J30" s="71">
        <f t="shared" si="20"/>
        <v>10</v>
      </c>
      <c r="K30" s="85">
        <f t="shared" si="10"/>
        <v>222.49999999999997</v>
      </c>
      <c r="L30" s="86">
        <f t="shared" si="11"/>
        <v>7.9768928571428566</v>
      </c>
      <c r="M30" s="87">
        <f t="shared" si="0"/>
        <v>0.40703869047619001</v>
      </c>
      <c r="N30" s="87">
        <f t="shared" si="16"/>
        <v>7.40703869047619</v>
      </c>
      <c r="O30" s="79">
        <f t="shared" si="12"/>
        <v>79.76892857142856</v>
      </c>
      <c r="P30" s="88">
        <f>IF(I30=TRUE,SUMIFS(base!D$3:D$100,base!C$3:C$100,base!C24),"")</f>
        <v>6479</v>
      </c>
      <c r="Q30" s="79">
        <f t="shared" si="21"/>
        <v>27.89306613298232</v>
      </c>
      <c r="R30" s="88">
        <f t="shared" si="2"/>
        <v>812.2210133734493</v>
      </c>
      <c r="S30" s="92">
        <f t="shared" si="3"/>
        <v>43251.698708690477</v>
      </c>
      <c r="T30" s="90">
        <f t="shared" si="4"/>
        <v>16</v>
      </c>
      <c r="U30" s="91" t="s">
        <v>46</v>
      </c>
      <c r="V30" s="90">
        <f t="shared" si="18"/>
        <v>46</v>
      </c>
      <c r="W30" s="7"/>
      <c r="X30" s="7"/>
      <c r="Y30" s="8"/>
      <c r="Z30" s="93" t="str">
        <f t="shared" si="6"/>
        <v>&lt;= !</v>
      </c>
      <c r="AA30" s="94">
        <f t="shared" si="7"/>
        <v>0</v>
      </c>
      <c r="AB30" s="95">
        <f t="shared" si="8"/>
        <v>43251.698708690477</v>
      </c>
      <c r="AC30" s="78">
        <f t="shared" si="22"/>
        <v>16</v>
      </c>
      <c r="AD30" s="78" t="s">
        <v>46</v>
      </c>
      <c r="AE30" s="78">
        <f t="shared" si="23"/>
        <v>46</v>
      </c>
      <c r="AF30" s="10"/>
      <c r="AG30" s="10"/>
      <c r="AH30" s="10"/>
    </row>
    <row r="31" spans="1:34" ht="15.75" x14ac:dyDescent="0.25">
      <c r="A31" s="84" t="s">
        <v>103</v>
      </c>
      <c r="B31" s="78">
        <f>VLOOKUP(A31,base!A$3:B$100,2)</f>
        <v>106.3</v>
      </c>
      <c r="C31" s="79">
        <f t="shared" si="19"/>
        <v>3.8708928571428571</v>
      </c>
      <c r="D31" s="80">
        <f>VLOOKUP(A31,base!A$3:J$100,9)+Y31</f>
        <v>38.708928571428572</v>
      </c>
      <c r="E31" s="83">
        <f>E30+base!B25</f>
        <v>1378.5</v>
      </c>
      <c r="F31" s="82" t="str">
        <f>base!F25</f>
        <v>2,4Km trail</v>
      </c>
      <c r="G31" s="67" t="s">
        <v>109</v>
      </c>
      <c r="H31" s="10"/>
      <c r="I31" s="71" t="b">
        <v>0</v>
      </c>
      <c r="J31" s="71">
        <f t="shared" si="20"/>
        <v>11</v>
      </c>
      <c r="K31" s="85" t="str">
        <f t="shared" si="10"/>
        <v/>
      </c>
      <c r="L31" s="86" t="str">
        <f t="shared" si="11"/>
        <v/>
      </c>
      <c r="M31" s="87" t="e">
        <f t="shared" si="0"/>
        <v>#VALUE!</v>
      </c>
      <c r="N31" s="87" t="e">
        <f t="shared" si="16"/>
        <v>#VALUE!</v>
      </c>
      <c r="O31" s="79">
        <f t="shared" si="12"/>
        <v>0</v>
      </c>
      <c r="P31" s="88" t="str">
        <f>IF(I31=TRUE,SUMIFS(base!D$3:D$100,base!C$3:C$100,base!C25),"")</f>
        <v/>
      </c>
      <c r="Q31" s="79" t="str">
        <f t="shared" si="21"/>
        <v/>
      </c>
      <c r="R31" s="88" t="str">
        <f t="shared" si="2"/>
        <v/>
      </c>
      <c r="S31" s="92">
        <f t="shared" si="3"/>
        <v>43251.698708690477</v>
      </c>
      <c r="T31" s="90">
        <f t="shared" si="4"/>
        <v>16</v>
      </c>
      <c r="U31" s="91" t="s">
        <v>46</v>
      </c>
      <c r="V31" s="90">
        <f t="shared" si="18"/>
        <v>46</v>
      </c>
      <c r="W31" s="7"/>
      <c r="X31" s="7"/>
      <c r="Y31" s="8"/>
      <c r="Z31" s="93" t="str">
        <f t="shared" si="6"/>
        <v/>
      </c>
      <c r="AA31" s="94">
        <f t="shared" si="7"/>
        <v>0</v>
      </c>
      <c r="AB31" s="95">
        <f t="shared" si="8"/>
        <v>43251.698708690477</v>
      </c>
      <c r="AC31" s="78">
        <f t="shared" si="22"/>
        <v>16</v>
      </c>
      <c r="AD31" s="78" t="s">
        <v>46</v>
      </c>
      <c r="AE31" s="78">
        <f t="shared" si="23"/>
        <v>46</v>
      </c>
      <c r="AF31" s="10"/>
      <c r="AG31" s="10"/>
      <c r="AH31" s="10"/>
    </row>
    <row r="32" spans="1:34" ht="15.75" x14ac:dyDescent="0.25">
      <c r="A32" s="84" t="s">
        <v>106</v>
      </c>
      <c r="B32" s="78">
        <f>VLOOKUP(A32,base!A$3:B$100,2)</f>
        <v>33.799999999999997</v>
      </c>
      <c r="C32" s="79">
        <f t="shared" si="19"/>
        <v>1.2667142857142857</v>
      </c>
      <c r="D32" s="80">
        <f>VLOOKUP(A32,base!A$3:J$100,9)+Y32</f>
        <v>12.667142857142856</v>
      </c>
      <c r="E32" s="83">
        <f>E31+base!B26</f>
        <v>1412.3</v>
      </c>
      <c r="F32" s="82" t="str">
        <f>base!F26</f>
        <v>2,4Km trail + Ferry</v>
      </c>
      <c r="G32" s="67" t="s">
        <v>109</v>
      </c>
      <c r="H32" s="10"/>
      <c r="I32" s="71" t="b">
        <v>1</v>
      </c>
      <c r="J32" s="71">
        <f t="shared" si="20"/>
        <v>11</v>
      </c>
      <c r="K32" s="85">
        <f t="shared" si="10"/>
        <v>140.1</v>
      </c>
      <c r="L32" s="86">
        <f t="shared" si="11"/>
        <v>5.137607142857143</v>
      </c>
      <c r="M32" s="87">
        <f t="shared" si="0"/>
        <v>5.7336309523809526E-2</v>
      </c>
      <c r="N32" s="87">
        <f t="shared" si="16"/>
        <v>5.0573363095238095</v>
      </c>
      <c r="O32" s="79">
        <f t="shared" si="12"/>
        <v>51.376071428571429</v>
      </c>
      <c r="P32" s="88">
        <f>IF(I32=TRUE,SUMIFS(base!D$3:D$100,base!C$3:C$100,base!C26),"")</f>
        <v>4539</v>
      </c>
      <c r="Q32" s="79">
        <f t="shared" si="21"/>
        <v>27.269504285624908</v>
      </c>
      <c r="R32" s="88">
        <f t="shared" si="2"/>
        <v>883.48522450001042</v>
      </c>
      <c r="S32" s="92">
        <f t="shared" si="3"/>
        <v>43256.756045000002</v>
      </c>
      <c r="T32" s="90">
        <f t="shared" si="4"/>
        <v>18</v>
      </c>
      <c r="U32" s="91" t="s">
        <v>46</v>
      </c>
      <c r="V32" s="90">
        <f t="shared" si="18"/>
        <v>8</v>
      </c>
      <c r="W32" s="7"/>
      <c r="X32" s="7"/>
      <c r="Y32" s="8"/>
      <c r="Z32" s="93" t="str">
        <f t="shared" si="6"/>
        <v>&lt;= !</v>
      </c>
      <c r="AA32" s="94">
        <f t="shared" si="7"/>
        <v>0</v>
      </c>
      <c r="AB32" s="95">
        <f t="shared" si="8"/>
        <v>43256.756045000002</v>
      </c>
      <c r="AC32" s="78">
        <f t="shared" si="22"/>
        <v>18</v>
      </c>
      <c r="AD32" s="78" t="s">
        <v>46</v>
      </c>
      <c r="AE32" s="78">
        <f t="shared" si="23"/>
        <v>8</v>
      </c>
      <c r="AF32" s="10"/>
      <c r="AG32" s="10"/>
      <c r="AH32" s="10"/>
    </row>
    <row r="33" spans="1:34" ht="15.75" x14ac:dyDescent="0.25">
      <c r="A33" s="84" t="s">
        <v>117</v>
      </c>
      <c r="B33" s="78">
        <f>VLOOKUP(A33,base!A$3:B$100,2)</f>
        <v>47.3</v>
      </c>
      <c r="C33" s="79">
        <f t="shared" ref="C33:C76" si="24">D33/B$3</f>
        <v>1.6931785714285712</v>
      </c>
      <c r="D33" s="80">
        <f>VLOOKUP(A33,base!A$3:J$100,9)+Y33</f>
        <v>16.931785714285713</v>
      </c>
      <c r="E33" s="83">
        <f>E32+base!B27</f>
        <v>1459.6</v>
      </c>
      <c r="F33" s="82" t="str">
        <f>base!F27</f>
        <v>05Km trail</v>
      </c>
      <c r="G33" s="67" t="s">
        <v>109</v>
      </c>
      <c r="H33" s="10"/>
      <c r="I33" s="71" t="b">
        <v>1</v>
      </c>
      <c r="J33" s="71">
        <f t="shared" ref="J33:J76" si="25">IF(I32=TRUE,J32+1,J32)</f>
        <v>12</v>
      </c>
      <c r="K33" s="85">
        <f t="shared" si="10"/>
        <v>47.3</v>
      </c>
      <c r="L33" s="86">
        <f t="shared" si="11"/>
        <v>1.6931785714285712</v>
      </c>
      <c r="M33" s="87">
        <f t="shared" si="0"/>
        <v>0.28882440476190469</v>
      </c>
      <c r="N33" s="87">
        <f t="shared" ref="N33:N76" si="26">INT(L33)+M33</f>
        <v>1.2888244047619046</v>
      </c>
      <c r="O33" s="79">
        <f t="shared" si="12"/>
        <v>16.931785714285713</v>
      </c>
      <c r="P33" s="88">
        <f>IF(I33=TRUE,SUMIFS(base!D$3:D$100,base!C$3:C$100,base!C27),"")</f>
        <v>1367</v>
      </c>
      <c r="Q33" s="79">
        <f t="shared" ref="Q33:Q76" si="27">IF(K33="","",K33/L33)</f>
        <v>27.935624037629989</v>
      </c>
      <c r="R33" s="88">
        <f t="shared" ref="R33:R76" si="28">IF(P33="","",P33/L33)</f>
        <v>807.35725284228749</v>
      </c>
      <c r="S33" s="92">
        <f t="shared" si="3"/>
        <v>43258.044869404766</v>
      </c>
      <c r="T33" s="90">
        <f t="shared" si="4"/>
        <v>1</v>
      </c>
      <c r="U33" s="91" t="s">
        <v>46</v>
      </c>
      <c r="V33" s="90">
        <f t="shared" ref="V33:V76" si="29">MINUTE(S33)</f>
        <v>4</v>
      </c>
      <c r="W33" s="7"/>
      <c r="X33" s="7"/>
      <c r="Y33" s="8"/>
      <c r="Z33" s="93" t="str">
        <f t="shared" si="6"/>
        <v>&lt;= !</v>
      </c>
      <c r="AA33" s="94">
        <f t="shared" si="7"/>
        <v>0</v>
      </c>
      <c r="AB33" s="95">
        <f t="shared" si="8"/>
        <v>43258.044869404766</v>
      </c>
      <c r="AC33" s="78">
        <f t="shared" ref="AC33:AC76" si="30">HOUR(AB33)</f>
        <v>1</v>
      </c>
      <c r="AD33" s="78" t="s">
        <v>46</v>
      </c>
      <c r="AE33" s="78">
        <f t="shared" ref="AE33:AE76" si="31">MINUTE(AB33)</f>
        <v>4</v>
      </c>
      <c r="AF33" s="10"/>
      <c r="AG33" s="10"/>
      <c r="AH33" s="10"/>
    </row>
    <row r="34" spans="1:34" ht="15.75" x14ac:dyDescent="0.25">
      <c r="A34" s="84" t="s">
        <v>118</v>
      </c>
      <c r="B34" s="78">
        <f>VLOOKUP(A34,base!A$3:B$100,2)</f>
        <v>58.1</v>
      </c>
      <c r="C34" s="79">
        <f t="shared" si="24"/>
        <v>2.0125000000000002</v>
      </c>
      <c r="D34" s="80">
        <f>VLOOKUP(A34,base!A$3:J$100,9)+Y34</f>
        <v>20.125</v>
      </c>
      <c r="E34" s="83">
        <f>E33+base!B28</f>
        <v>1517.6999999999998</v>
      </c>
      <c r="F34" s="82" t="str">
        <f>base!F28</f>
        <v>0,5Km trail</v>
      </c>
      <c r="G34" s="67" t="s">
        <v>109</v>
      </c>
      <c r="H34" s="10"/>
      <c r="I34" s="71" t="b">
        <v>0</v>
      </c>
      <c r="J34" s="71">
        <f t="shared" si="25"/>
        <v>13</v>
      </c>
      <c r="K34" s="85" t="str">
        <f t="shared" si="10"/>
        <v/>
      </c>
      <c r="L34" s="86" t="str">
        <f t="shared" si="11"/>
        <v/>
      </c>
      <c r="M34" s="87" t="e">
        <f t="shared" si="0"/>
        <v>#VALUE!</v>
      </c>
      <c r="N34" s="87" t="e">
        <f t="shared" si="26"/>
        <v>#VALUE!</v>
      </c>
      <c r="O34" s="79">
        <f t="shared" si="12"/>
        <v>0</v>
      </c>
      <c r="P34" s="88" t="str">
        <f>IF(I34=TRUE,SUMIFS(base!D$3:D$100,base!C$3:C$100,base!C28),"")</f>
        <v/>
      </c>
      <c r="Q34" s="79" t="str">
        <f t="shared" si="27"/>
        <v/>
      </c>
      <c r="R34" s="88" t="str">
        <f t="shared" si="28"/>
        <v/>
      </c>
      <c r="S34" s="92">
        <f t="shared" si="3"/>
        <v>43258.044869404766</v>
      </c>
      <c r="T34" s="90">
        <f t="shared" si="4"/>
        <v>1</v>
      </c>
      <c r="U34" s="91" t="s">
        <v>46</v>
      </c>
      <c r="V34" s="90">
        <f t="shared" si="29"/>
        <v>4</v>
      </c>
      <c r="W34" s="7"/>
      <c r="X34" s="7"/>
      <c r="Y34" s="8"/>
      <c r="Z34" s="93" t="str">
        <f t="shared" si="6"/>
        <v/>
      </c>
      <c r="AA34" s="94">
        <f t="shared" si="7"/>
        <v>0</v>
      </c>
      <c r="AB34" s="95">
        <f t="shared" si="8"/>
        <v>43258.044869404766</v>
      </c>
      <c r="AC34" s="78">
        <f t="shared" si="30"/>
        <v>1</v>
      </c>
      <c r="AD34" s="78" t="s">
        <v>46</v>
      </c>
      <c r="AE34" s="78">
        <f t="shared" si="31"/>
        <v>4</v>
      </c>
      <c r="AF34" s="10"/>
      <c r="AG34" s="9" t="s">
        <v>114</v>
      </c>
      <c r="AH34" s="10"/>
    </row>
    <row r="35" spans="1:34" ht="15.75" x14ac:dyDescent="0.25">
      <c r="A35" s="84" t="s">
        <v>121</v>
      </c>
      <c r="B35" s="78">
        <f>VLOOKUP(A35,base!A$3:B$100,2)</f>
        <v>121.7</v>
      </c>
      <c r="C35" s="79">
        <f t="shared" si="24"/>
        <v>4.4106428571428573</v>
      </c>
      <c r="D35" s="80">
        <f>VLOOKUP(A35,base!A$3:J$100,9)+Y35</f>
        <v>44.106428571428573</v>
      </c>
      <c r="E35" s="83">
        <f>E34+base!B29</f>
        <v>1639.3999999999999</v>
      </c>
      <c r="F35" s="82" t="str">
        <f>base!F29</f>
        <v>49,9Km road</v>
      </c>
      <c r="G35" s="67" t="s">
        <v>109</v>
      </c>
      <c r="H35" s="10"/>
      <c r="I35" s="71" t="b">
        <v>1</v>
      </c>
      <c r="J35" s="71">
        <f t="shared" si="25"/>
        <v>13</v>
      </c>
      <c r="K35" s="85">
        <f t="shared" si="10"/>
        <v>179.8</v>
      </c>
      <c r="L35" s="86">
        <f t="shared" si="11"/>
        <v>6.4231428571428575</v>
      </c>
      <c r="M35" s="87">
        <f t="shared" si="0"/>
        <v>0.17630952380952417</v>
      </c>
      <c r="N35" s="87">
        <f t="shared" si="26"/>
        <v>6.1763095238095245</v>
      </c>
      <c r="O35" s="79">
        <f t="shared" si="12"/>
        <v>64.23142857142858</v>
      </c>
      <c r="P35" s="88">
        <f>IF(I35=TRUE,SUMIFS(base!D$3:D$100,base!C$3:C$100,base!C29),"")</f>
        <v>5144</v>
      </c>
      <c r="Q35" s="79">
        <f t="shared" si="27"/>
        <v>27.992527022819271</v>
      </c>
      <c r="R35" s="88">
        <f t="shared" si="28"/>
        <v>800.85405453494059</v>
      </c>
      <c r="S35" s="92">
        <f t="shared" si="3"/>
        <v>43264.221178928579</v>
      </c>
      <c r="T35" s="90">
        <f t="shared" si="4"/>
        <v>5</v>
      </c>
      <c r="U35" s="91" t="s">
        <v>46</v>
      </c>
      <c r="V35" s="90">
        <f t="shared" si="29"/>
        <v>18</v>
      </c>
      <c r="W35" s="7">
        <v>1</v>
      </c>
      <c r="X35" s="7"/>
      <c r="Y35" s="8"/>
      <c r="Z35" s="93" t="str">
        <f t="shared" si="6"/>
        <v/>
      </c>
      <c r="AA35" s="94">
        <f t="shared" si="7"/>
        <v>0.57685714285714251</v>
      </c>
      <c r="AB35" s="95">
        <f t="shared" si="8"/>
        <v>43265.291669999999</v>
      </c>
      <c r="AC35" s="78">
        <f t="shared" si="30"/>
        <v>7</v>
      </c>
      <c r="AD35" s="78" t="s">
        <v>46</v>
      </c>
      <c r="AE35" s="78">
        <f t="shared" si="31"/>
        <v>0</v>
      </c>
      <c r="AF35" s="10"/>
      <c r="AG35" s="9" t="s">
        <v>114</v>
      </c>
      <c r="AH35" s="10"/>
    </row>
    <row r="36" spans="1:34" ht="15.75" x14ac:dyDescent="0.25">
      <c r="A36" s="84" t="s">
        <v>124</v>
      </c>
      <c r="B36" s="78">
        <f>VLOOKUP(A36,base!A$3:B$100,2)</f>
        <v>50.9</v>
      </c>
      <c r="C36" s="79">
        <f t="shared" si="24"/>
        <v>1.7500357142857144</v>
      </c>
      <c r="D36" s="80">
        <f>VLOOKUP(A36,base!A$3:J$100,9)+Y36</f>
        <v>17.500357142857144</v>
      </c>
      <c r="E36" s="83">
        <f>E35+base!B30</f>
        <v>1690.3</v>
      </c>
      <c r="F36" s="82" t="str">
        <f>base!F30</f>
        <v>27,4Km road</v>
      </c>
      <c r="G36" s="67" t="s">
        <v>109</v>
      </c>
      <c r="H36" s="10"/>
      <c r="I36" s="71" t="b">
        <v>0</v>
      </c>
      <c r="J36" s="71">
        <f t="shared" si="25"/>
        <v>14</v>
      </c>
      <c r="K36" s="85" t="str">
        <f t="shared" si="10"/>
        <v/>
      </c>
      <c r="L36" s="86" t="str">
        <f t="shared" si="11"/>
        <v/>
      </c>
      <c r="M36" s="87" t="e">
        <f t="shared" si="0"/>
        <v>#VALUE!</v>
      </c>
      <c r="N36" s="87" t="e">
        <f t="shared" si="26"/>
        <v>#VALUE!</v>
      </c>
      <c r="O36" s="79">
        <f t="shared" si="12"/>
        <v>0</v>
      </c>
      <c r="P36" s="88" t="str">
        <f>IF(I36=TRUE,SUMIFS(base!D$3:D$100,base!C$3:C$100,base!C30),"")</f>
        <v/>
      </c>
      <c r="Q36" s="79" t="str">
        <f t="shared" si="27"/>
        <v/>
      </c>
      <c r="R36" s="88" t="str">
        <f t="shared" si="28"/>
        <v/>
      </c>
      <c r="S36" s="92">
        <f t="shared" si="3"/>
        <v>43265.291669999999</v>
      </c>
      <c r="T36" s="90">
        <f t="shared" si="4"/>
        <v>7</v>
      </c>
      <c r="U36" s="91" t="s">
        <v>46</v>
      </c>
      <c r="V36" s="90">
        <f t="shared" si="29"/>
        <v>0</v>
      </c>
      <c r="W36" s="7"/>
      <c r="X36" s="7"/>
      <c r="Y36" s="8"/>
      <c r="Z36" s="93" t="str">
        <f t="shared" si="6"/>
        <v/>
      </c>
      <c r="AA36" s="94">
        <f t="shared" si="7"/>
        <v>0</v>
      </c>
      <c r="AB36" s="95">
        <f t="shared" si="8"/>
        <v>43265.291669999999</v>
      </c>
      <c r="AC36" s="78">
        <f t="shared" si="30"/>
        <v>7</v>
      </c>
      <c r="AD36" s="78" t="s">
        <v>46</v>
      </c>
      <c r="AE36" s="78">
        <f t="shared" si="31"/>
        <v>0</v>
      </c>
      <c r="AF36" s="10"/>
      <c r="AG36" s="10"/>
      <c r="AH36" s="10"/>
    </row>
    <row r="37" spans="1:34" ht="15.75" x14ac:dyDescent="0.25">
      <c r="A37" s="84" t="s">
        <v>127</v>
      </c>
      <c r="B37" s="78">
        <f>VLOOKUP(A37,base!A$3:B$100,2)</f>
        <v>69.400000000000006</v>
      </c>
      <c r="C37" s="79">
        <f t="shared" si="24"/>
        <v>2.2473571428571431</v>
      </c>
      <c r="D37" s="80">
        <f>VLOOKUP(A37,base!A$3:J$100,9)+Y37</f>
        <v>22.473571428571429</v>
      </c>
      <c r="E37" s="83">
        <f>E36+base!B31</f>
        <v>1759.7</v>
      </c>
      <c r="F37" s="82" t="str">
        <f>base!F31</f>
        <v>19,3Km road</v>
      </c>
      <c r="G37" s="67" t="s">
        <v>109</v>
      </c>
      <c r="H37" s="10"/>
      <c r="I37" s="71" t="b">
        <v>1</v>
      </c>
      <c r="J37" s="71">
        <f t="shared" si="25"/>
        <v>14</v>
      </c>
      <c r="K37" s="85">
        <f t="shared" si="10"/>
        <v>120.30000000000001</v>
      </c>
      <c r="L37" s="86">
        <f t="shared" si="11"/>
        <v>3.9973928571428576</v>
      </c>
      <c r="M37" s="87">
        <f t="shared" si="0"/>
        <v>0.41558035714285718</v>
      </c>
      <c r="N37" s="87">
        <f t="shared" si="26"/>
        <v>3.4155803571428573</v>
      </c>
      <c r="O37" s="79">
        <f t="shared" si="12"/>
        <v>39.973928571428573</v>
      </c>
      <c r="P37" s="88">
        <f>IF(I37=TRUE,SUMIFS(base!D$3:D$100,base!C$3:C$100,base!C31),"")</f>
        <v>2241</v>
      </c>
      <c r="Q37" s="79">
        <f t="shared" si="27"/>
        <v>30.094615240290544</v>
      </c>
      <c r="R37" s="88">
        <f t="shared" si="28"/>
        <v>560.61540110965177</v>
      </c>
      <c r="S37" s="92">
        <f t="shared" si="3"/>
        <v>43268.70725035714</v>
      </c>
      <c r="T37" s="90">
        <f t="shared" si="4"/>
        <v>16</v>
      </c>
      <c r="U37" s="91" t="s">
        <v>46</v>
      </c>
      <c r="V37" s="90">
        <f t="shared" si="29"/>
        <v>58</v>
      </c>
      <c r="W37" s="7"/>
      <c r="X37" s="7"/>
      <c r="Y37" s="8"/>
      <c r="Z37" s="93" t="str">
        <f t="shared" si="6"/>
        <v>&lt;= !</v>
      </c>
      <c r="AA37" s="94">
        <f t="shared" si="7"/>
        <v>0</v>
      </c>
      <c r="AB37" s="95">
        <f t="shared" si="8"/>
        <v>43268.70725035714</v>
      </c>
      <c r="AC37" s="78">
        <f t="shared" si="30"/>
        <v>16</v>
      </c>
      <c r="AD37" s="78" t="s">
        <v>46</v>
      </c>
      <c r="AE37" s="78">
        <f t="shared" si="31"/>
        <v>58</v>
      </c>
      <c r="AF37" s="10"/>
      <c r="AG37" s="10"/>
      <c r="AH37" s="10"/>
    </row>
    <row r="38" spans="1:34" ht="15.75" x14ac:dyDescent="0.25">
      <c r="A38" s="84" t="s">
        <v>129</v>
      </c>
      <c r="B38" s="78">
        <f>VLOOKUP(A38,base!A$3:B$100,2)</f>
        <v>101.1</v>
      </c>
      <c r="C38" s="79">
        <f t="shared" si="24"/>
        <v>3.8020714285714283</v>
      </c>
      <c r="D38" s="80">
        <f>VLOOKUP(A38,base!A$3:J$100,9)+Y38</f>
        <v>38.020714285714284</v>
      </c>
      <c r="E38" s="83">
        <f>E37+base!B32</f>
        <v>1860.8</v>
      </c>
      <c r="F38" s="82" t="str">
        <f>base!F32</f>
        <v>19,3Km road</v>
      </c>
      <c r="G38" s="67" t="s">
        <v>109</v>
      </c>
      <c r="H38" s="10"/>
      <c r="I38" s="71" t="b">
        <v>0</v>
      </c>
      <c r="J38" s="71">
        <f t="shared" si="25"/>
        <v>15</v>
      </c>
      <c r="K38" s="85" t="str">
        <f t="shared" si="10"/>
        <v/>
      </c>
      <c r="L38" s="86" t="str">
        <f t="shared" si="11"/>
        <v/>
      </c>
      <c r="M38" s="87" t="e">
        <f t="shared" si="0"/>
        <v>#VALUE!</v>
      </c>
      <c r="N38" s="87" t="e">
        <f t="shared" si="26"/>
        <v>#VALUE!</v>
      </c>
      <c r="O38" s="79">
        <f t="shared" si="12"/>
        <v>0</v>
      </c>
      <c r="P38" s="88" t="str">
        <f>IF(I38=TRUE,SUMIFS(base!D$3:D$100,base!C$3:C$100,base!C32),"")</f>
        <v/>
      </c>
      <c r="Q38" s="79" t="str">
        <f t="shared" si="27"/>
        <v/>
      </c>
      <c r="R38" s="88" t="str">
        <f t="shared" si="28"/>
        <v/>
      </c>
      <c r="S38" s="92">
        <f t="shared" si="3"/>
        <v>43268.70725035714</v>
      </c>
      <c r="T38" s="90">
        <f t="shared" si="4"/>
        <v>16</v>
      </c>
      <c r="U38" s="91" t="s">
        <v>46</v>
      </c>
      <c r="V38" s="90">
        <f t="shared" si="29"/>
        <v>58</v>
      </c>
      <c r="W38" s="7"/>
      <c r="X38" s="7"/>
      <c r="Y38" s="8">
        <v>3</v>
      </c>
      <c r="Z38" s="93" t="str">
        <f t="shared" si="6"/>
        <v/>
      </c>
      <c r="AA38" s="94">
        <f t="shared" si="7"/>
        <v>0</v>
      </c>
      <c r="AB38" s="95">
        <f t="shared" si="8"/>
        <v>43268.70725035714</v>
      </c>
      <c r="AC38" s="78">
        <f t="shared" si="30"/>
        <v>16</v>
      </c>
      <c r="AD38" s="78" t="s">
        <v>46</v>
      </c>
      <c r="AE38" s="78">
        <f t="shared" si="31"/>
        <v>58</v>
      </c>
      <c r="AF38" s="9" t="s">
        <v>114</v>
      </c>
      <c r="AG38" s="10"/>
      <c r="AH38" s="10"/>
    </row>
    <row r="39" spans="1:34" ht="15.75" x14ac:dyDescent="0.25">
      <c r="A39" s="84" t="s">
        <v>134</v>
      </c>
      <c r="B39" s="78">
        <f>VLOOKUP(A39,base!A$3:B$100,2)</f>
        <v>67.3</v>
      </c>
      <c r="C39" s="79">
        <f t="shared" si="24"/>
        <v>2.1636071428571428</v>
      </c>
      <c r="D39" s="80">
        <f>VLOOKUP(A39,base!A$3:J$100,9)+Y39</f>
        <v>21.636071428571427</v>
      </c>
      <c r="E39" s="83">
        <f>E38+base!B33</f>
        <v>1928.1</v>
      </c>
      <c r="F39" s="82" t="str">
        <f>base!F33</f>
        <v>2,3Km road</v>
      </c>
      <c r="G39" s="67" t="s">
        <v>109</v>
      </c>
      <c r="H39" s="10"/>
      <c r="I39" s="71" t="b">
        <v>1</v>
      </c>
      <c r="J39" s="71">
        <f t="shared" si="25"/>
        <v>15</v>
      </c>
      <c r="K39" s="85">
        <f t="shared" si="10"/>
        <v>168.39999999999998</v>
      </c>
      <c r="L39" s="86">
        <f t="shared" si="11"/>
        <v>5.9656785714285707</v>
      </c>
      <c r="M39" s="87">
        <f t="shared" si="0"/>
        <v>0.40236607142857128</v>
      </c>
      <c r="N39" s="87">
        <f t="shared" si="26"/>
        <v>5.4023660714285713</v>
      </c>
      <c r="O39" s="79">
        <f t="shared" si="12"/>
        <v>59.656785714285711</v>
      </c>
      <c r="P39" s="88">
        <f>IF(I39=TRUE,SUMIFS(base!D$3:D$100,base!C$3:C$100,base!C33),"")</f>
        <v>3417</v>
      </c>
      <c r="Q39" s="79">
        <f t="shared" si="27"/>
        <v>28.228138338950785</v>
      </c>
      <c r="R39" s="88">
        <f t="shared" si="28"/>
        <v>572.77641748334224</v>
      </c>
      <c r="S39" s="92">
        <f t="shared" si="3"/>
        <v>43274.10961642857</v>
      </c>
      <c r="T39" s="90">
        <f t="shared" si="4"/>
        <v>2</v>
      </c>
      <c r="U39" s="91" t="s">
        <v>46</v>
      </c>
      <c r="V39" s="90">
        <f t="shared" si="29"/>
        <v>37</v>
      </c>
      <c r="W39" s="7"/>
      <c r="X39" s="7"/>
      <c r="Y39" s="8"/>
      <c r="Z39" s="93" t="str">
        <f t="shared" si="6"/>
        <v>&lt;= !</v>
      </c>
      <c r="AA39" s="94">
        <f t="shared" si="7"/>
        <v>0</v>
      </c>
      <c r="AB39" s="95">
        <f t="shared" si="8"/>
        <v>43274.10961642857</v>
      </c>
      <c r="AC39" s="78">
        <f t="shared" si="30"/>
        <v>2</v>
      </c>
      <c r="AD39" s="78" t="s">
        <v>46</v>
      </c>
      <c r="AE39" s="78">
        <f t="shared" si="31"/>
        <v>37</v>
      </c>
      <c r="AF39" s="10"/>
      <c r="AG39" s="10"/>
      <c r="AH39" s="10"/>
    </row>
    <row r="40" spans="1:34" ht="15.75" x14ac:dyDescent="0.25">
      <c r="A40" s="84" t="s">
        <v>133</v>
      </c>
      <c r="B40" s="78">
        <f>VLOOKUP(A40,base!A$3:B$100,2)</f>
        <v>116.9</v>
      </c>
      <c r="C40" s="79">
        <f t="shared" si="24"/>
        <v>4.056</v>
      </c>
      <c r="D40" s="80">
        <f>VLOOKUP(A40,base!A$3:J$100,9)+Y40</f>
        <v>40.56</v>
      </c>
      <c r="E40" s="83">
        <f>E39+base!B34</f>
        <v>2045</v>
      </c>
      <c r="F40" s="82" t="str">
        <f>base!F34</f>
        <v>19,3Km road</v>
      </c>
      <c r="G40" s="67" t="s">
        <v>109</v>
      </c>
      <c r="H40" s="10"/>
      <c r="I40" s="71" t="b">
        <v>1</v>
      </c>
      <c r="J40" s="71">
        <f t="shared" si="25"/>
        <v>16</v>
      </c>
      <c r="K40" s="85">
        <f t="shared" si="10"/>
        <v>116.9</v>
      </c>
      <c r="L40" s="86">
        <f t="shared" si="11"/>
        <v>4.056</v>
      </c>
      <c r="M40" s="87">
        <f t="shared" ref="M40:M71" si="32">(O40-(INT(L40)*B$3))/24</f>
        <v>2.3333333333333428E-2</v>
      </c>
      <c r="N40" s="87">
        <f t="shared" si="26"/>
        <v>4.0233333333333334</v>
      </c>
      <c r="O40" s="79">
        <f t="shared" si="12"/>
        <v>40.56</v>
      </c>
      <c r="P40" s="88">
        <f>IF(I40=TRUE,SUMIFS(base!D$3:D$100,base!C$3:C$100,base!C34),"")</f>
        <v>2864</v>
      </c>
      <c r="Q40" s="79">
        <f t="shared" si="27"/>
        <v>28.821499013806708</v>
      </c>
      <c r="R40" s="88">
        <f t="shared" si="28"/>
        <v>706.11439842209074</v>
      </c>
      <c r="S40" s="92">
        <f t="shared" si="3"/>
        <v>43278.132949761901</v>
      </c>
      <c r="T40" s="90">
        <f t="shared" si="4"/>
        <v>3</v>
      </c>
      <c r="U40" s="91" t="s">
        <v>46</v>
      </c>
      <c r="V40" s="90">
        <f t="shared" si="29"/>
        <v>11</v>
      </c>
      <c r="W40" s="7">
        <v>1</v>
      </c>
      <c r="X40" s="7"/>
      <c r="Y40" s="8"/>
      <c r="Z40" s="93" t="str">
        <f t="shared" si="6"/>
        <v/>
      </c>
      <c r="AA40" s="94">
        <f t="shared" si="7"/>
        <v>0.94399999999999995</v>
      </c>
      <c r="AB40" s="95">
        <f t="shared" si="8"/>
        <v>43279.291669999999</v>
      </c>
      <c r="AC40" s="78">
        <f t="shared" si="30"/>
        <v>7</v>
      </c>
      <c r="AD40" s="78" t="s">
        <v>46</v>
      </c>
      <c r="AE40" s="78">
        <f t="shared" si="31"/>
        <v>0</v>
      </c>
      <c r="AF40" s="10"/>
      <c r="AG40" s="10"/>
      <c r="AH40" s="10"/>
    </row>
    <row r="41" spans="1:34" ht="15.75" x14ac:dyDescent="0.25">
      <c r="A41" s="84" t="s">
        <v>136</v>
      </c>
      <c r="B41" s="78">
        <f>VLOOKUP(A41,base!A$3:B$100,2)</f>
        <v>30.6</v>
      </c>
      <c r="C41" s="79">
        <f t="shared" si="24"/>
        <v>0.98703571428571435</v>
      </c>
      <c r="D41" s="80">
        <f>VLOOKUP(A41,base!A$3:J$100,9)+Y41</f>
        <v>9.8703571428571433</v>
      </c>
      <c r="E41" s="83">
        <f>E40+base!B35</f>
        <v>2075.6</v>
      </c>
      <c r="F41" s="82" t="str">
        <f>base!F35</f>
        <v>0km</v>
      </c>
      <c r="G41" s="67" t="s">
        <v>109</v>
      </c>
      <c r="H41" s="10"/>
      <c r="I41" s="71" t="b">
        <v>0</v>
      </c>
      <c r="J41" s="71">
        <f t="shared" si="25"/>
        <v>17</v>
      </c>
      <c r="K41" s="85" t="str">
        <f t="shared" si="10"/>
        <v/>
      </c>
      <c r="L41" s="86" t="str">
        <f t="shared" si="11"/>
        <v/>
      </c>
      <c r="M41" s="87" t="e">
        <f t="shared" si="32"/>
        <v>#VALUE!</v>
      </c>
      <c r="N41" s="87" t="e">
        <f t="shared" si="26"/>
        <v>#VALUE!</v>
      </c>
      <c r="O41" s="79">
        <f t="shared" si="12"/>
        <v>0</v>
      </c>
      <c r="P41" s="88" t="str">
        <f>IF(I41=TRUE,SUMIFS(base!D$3:D$100,base!C$3:C$100,base!C35),"")</f>
        <v/>
      </c>
      <c r="Q41" s="79" t="str">
        <f t="shared" si="27"/>
        <v/>
      </c>
      <c r="R41" s="88" t="str">
        <f t="shared" si="28"/>
        <v/>
      </c>
      <c r="S41" s="92">
        <f t="shared" ref="S41:S76" si="33">IF(I41=TRUE,AB40+N41,AB40)-AK41</f>
        <v>43279.291669999999</v>
      </c>
      <c r="T41" s="90">
        <f t="shared" si="4"/>
        <v>7</v>
      </c>
      <c r="U41" s="91" t="s">
        <v>46</v>
      </c>
      <c r="V41" s="90">
        <f t="shared" si="29"/>
        <v>0</v>
      </c>
      <c r="W41" s="7"/>
      <c r="X41" s="7"/>
      <c r="Y41" s="8"/>
      <c r="Z41" s="93" t="str">
        <f t="shared" ref="Z41:Z72" si="34">IF(I41=TRUE,IF(W41+X41+Y41=0,"&lt;= !",""),"")</f>
        <v/>
      </c>
      <c r="AA41" s="94">
        <f t="shared" ref="AA41:AA76" si="35">IF(W41=1,ROUNDUP(L41,0)-L41,0)+IF(X41=1,1,0)</f>
        <v>0</v>
      </c>
      <c r="AB41" s="95">
        <f t="shared" ref="AB41:AB76" si="36">IF(W41=1, ROUNDDOWN(S41,0)+1+0.29167,S41)</f>
        <v>43279.291669999999</v>
      </c>
      <c r="AC41" s="78">
        <f t="shared" si="30"/>
        <v>7</v>
      </c>
      <c r="AD41" s="78" t="s">
        <v>46</v>
      </c>
      <c r="AE41" s="78">
        <f t="shared" si="31"/>
        <v>0</v>
      </c>
      <c r="AF41" s="10"/>
      <c r="AG41" s="10"/>
      <c r="AH41" s="10"/>
    </row>
    <row r="42" spans="1:34" ht="15.75" x14ac:dyDescent="0.25">
      <c r="A42" s="84" t="s">
        <v>138</v>
      </c>
      <c r="B42" s="78">
        <f>VLOOKUP(A42,base!A$3:B$100,2)</f>
        <v>75.099999999999994</v>
      </c>
      <c r="C42" s="79">
        <f t="shared" si="24"/>
        <v>2.6734642857142856</v>
      </c>
      <c r="D42" s="80">
        <f>VLOOKUP(A42,base!A$3:J$100,9)+Y42</f>
        <v>26.734642857142855</v>
      </c>
      <c r="E42" s="83">
        <f>E41+base!B36</f>
        <v>2150.6999999999998</v>
      </c>
      <c r="F42" s="82" t="str">
        <f>base!F36</f>
        <v>12,1Km trail</v>
      </c>
      <c r="G42" s="67" t="s">
        <v>109</v>
      </c>
      <c r="H42" s="10"/>
      <c r="I42" s="71" t="b">
        <v>0</v>
      </c>
      <c r="J42" s="71">
        <f t="shared" si="25"/>
        <v>17</v>
      </c>
      <c r="K42" s="85" t="str">
        <f t="shared" ref="K42:K73" si="37">IF(I42=TRUE,SUMIFS(B$9:B$100,J$9:J$100,J42),"")</f>
        <v/>
      </c>
      <c r="L42" s="86" t="str">
        <f t="shared" ref="L42:L76" si="38">IF(I42=TRUE,SUMIFS(C$7:C$100,J$7:J$100,J42),"")</f>
        <v/>
      </c>
      <c r="M42" s="87" t="e">
        <f t="shared" si="32"/>
        <v>#VALUE!</v>
      </c>
      <c r="N42" s="87" t="e">
        <f t="shared" si="26"/>
        <v>#VALUE!</v>
      </c>
      <c r="O42" s="79">
        <f t="shared" ref="O42:O76" si="39">IF(I42=TRUE,SUMIFS(D$9:D$100,J$9:J$100,J42),0)</f>
        <v>0</v>
      </c>
      <c r="P42" s="88" t="str">
        <f>IF(I42=TRUE,SUMIFS(base!D$3:D$100,base!C$3:C$100,base!C36),"")</f>
        <v/>
      </c>
      <c r="Q42" s="79" t="str">
        <f t="shared" si="27"/>
        <v/>
      </c>
      <c r="R42" s="88" t="str">
        <f t="shared" si="28"/>
        <v/>
      </c>
      <c r="S42" s="92">
        <f t="shared" si="33"/>
        <v>43279.291669999999</v>
      </c>
      <c r="T42" s="90">
        <f t="shared" si="4"/>
        <v>7</v>
      </c>
      <c r="U42" s="91" t="s">
        <v>46</v>
      </c>
      <c r="V42" s="90">
        <f t="shared" si="29"/>
        <v>0</v>
      </c>
      <c r="W42" s="7"/>
      <c r="X42" s="7"/>
      <c r="Y42" s="8"/>
      <c r="Z42" s="93" t="str">
        <f t="shared" si="34"/>
        <v/>
      </c>
      <c r="AA42" s="94">
        <f t="shared" si="35"/>
        <v>0</v>
      </c>
      <c r="AB42" s="95">
        <f t="shared" si="36"/>
        <v>43279.291669999999</v>
      </c>
      <c r="AC42" s="78">
        <f t="shared" si="30"/>
        <v>7</v>
      </c>
      <c r="AD42" s="78" t="s">
        <v>46</v>
      </c>
      <c r="AE42" s="78">
        <f t="shared" si="31"/>
        <v>0</v>
      </c>
      <c r="AF42" s="10"/>
      <c r="AG42" s="10"/>
      <c r="AH42" s="10"/>
    </row>
    <row r="43" spans="1:34" ht="15.75" x14ac:dyDescent="0.25">
      <c r="A43" s="84" t="s">
        <v>141</v>
      </c>
      <c r="B43" s="78">
        <f>VLOOKUP(A43,base!A$3:B$100,2)</f>
        <v>28.2</v>
      </c>
      <c r="C43" s="79">
        <f t="shared" si="24"/>
        <v>0.96871428571428564</v>
      </c>
      <c r="D43" s="80">
        <f>VLOOKUP(A43,base!A$3:J$100,9)+Y43</f>
        <v>9.6871428571428559</v>
      </c>
      <c r="E43" s="83">
        <f>E42+base!B37</f>
        <v>2178.8999999999996</v>
      </c>
      <c r="F43" s="82" t="str">
        <f>base!F37</f>
        <v>0km</v>
      </c>
      <c r="G43" s="67" t="s">
        <v>109</v>
      </c>
      <c r="H43" s="10"/>
      <c r="I43" s="71" t="b">
        <v>0</v>
      </c>
      <c r="J43" s="71">
        <f t="shared" si="25"/>
        <v>17</v>
      </c>
      <c r="K43" s="85" t="str">
        <f t="shared" si="37"/>
        <v/>
      </c>
      <c r="L43" s="86" t="str">
        <f t="shared" si="38"/>
        <v/>
      </c>
      <c r="M43" s="87" t="e">
        <f t="shared" si="32"/>
        <v>#VALUE!</v>
      </c>
      <c r="N43" s="87" t="e">
        <f t="shared" si="26"/>
        <v>#VALUE!</v>
      </c>
      <c r="O43" s="79">
        <f t="shared" si="39"/>
        <v>0</v>
      </c>
      <c r="P43" s="88" t="str">
        <f>IF(I43=TRUE,SUMIFS(base!D$3:D$100,base!C$3:C$100,base!C37),"")</f>
        <v/>
      </c>
      <c r="Q43" s="79" t="str">
        <f t="shared" si="27"/>
        <v/>
      </c>
      <c r="R43" s="88" t="str">
        <f t="shared" si="28"/>
        <v/>
      </c>
      <c r="S43" s="92">
        <f t="shared" si="33"/>
        <v>43279.291669999999</v>
      </c>
      <c r="T43" s="90">
        <f t="shared" si="4"/>
        <v>7</v>
      </c>
      <c r="U43" s="91" t="s">
        <v>46</v>
      </c>
      <c r="V43" s="90">
        <f t="shared" si="29"/>
        <v>0</v>
      </c>
      <c r="W43" s="7"/>
      <c r="X43" s="7"/>
      <c r="Y43" s="8"/>
      <c r="Z43" s="93" t="str">
        <f t="shared" si="34"/>
        <v/>
      </c>
      <c r="AA43" s="94">
        <f t="shared" si="35"/>
        <v>0</v>
      </c>
      <c r="AB43" s="95">
        <f t="shared" si="36"/>
        <v>43279.291669999999</v>
      </c>
      <c r="AC43" s="78">
        <f t="shared" si="30"/>
        <v>7</v>
      </c>
      <c r="AD43" s="78" t="s">
        <v>46</v>
      </c>
      <c r="AE43" s="78">
        <f t="shared" si="31"/>
        <v>0</v>
      </c>
      <c r="AF43" s="10"/>
      <c r="AG43" s="10"/>
      <c r="AH43" s="10"/>
    </row>
    <row r="44" spans="1:34" ht="15.75" x14ac:dyDescent="0.25">
      <c r="A44" s="84" t="s">
        <v>142</v>
      </c>
      <c r="B44" s="78">
        <f>VLOOKUP(A44,base!A$3:B$100,2)</f>
        <v>39.299999999999997</v>
      </c>
      <c r="C44" s="79">
        <f t="shared" si="24"/>
        <v>1.2193571428571428</v>
      </c>
      <c r="D44" s="80">
        <f>VLOOKUP(A44,base!A$3:J$100,9)+Y44</f>
        <v>12.193571428571428</v>
      </c>
      <c r="E44" s="83">
        <f>E43+base!B38</f>
        <v>2218.1999999999998</v>
      </c>
      <c r="F44" s="82" t="str">
        <f>base!F38</f>
        <v>05KM trail</v>
      </c>
      <c r="G44" s="67" t="s">
        <v>109</v>
      </c>
      <c r="H44" s="10"/>
      <c r="I44" s="71" t="b">
        <v>1</v>
      </c>
      <c r="J44" s="71">
        <f t="shared" si="25"/>
        <v>17</v>
      </c>
      <c r="K44" s="85">
        <f t="shared" si="37"/>
        <v>173.2</v>
      </c>
      <c r="L44" s="86">
        <f t="shared" si="38"/>
        <v>5.8485714285714279</v>
      </c>
      <c r="M44" s="87">
        <f t="shared" si="32"/>
        <v>0.35357142857142837</v>
      </c>
      <c r="N44" s="87">
        <f t="shared" si="26"/>
        <v>5.3535714285714286</v>
      </c>
      <c r="O44" s="79">
        <f t="shared" si="39"/>
        <v>58.48571428571428</v>
      </c>
      <c r="P44" s="88">
        <f>IF(I44=TRUE,SUMIFS(base!D$3:D$100,base!C$3:C$100,base!C38),"")</f>
        <v>3600</v>
      </c>
      <c r="Q44" s="79">
        <f t="shared" si="27"/>
        <v>29.614069369809478</v>
      </c>
      <c r="R44" s="88">
        <f t="shared" si="28"/>
        <v>615.53492916463119</v>
      </c>
      <c r="S44" s="92">
        <f t="shared" si="33"/>
        <v>43284.645241428567</v>
      </c>
      <c r="T44" s="90">
        <f t="shared" si="4"/>
        <v>15</v>
      </c>
      <c r="U44" s="91" t="s">
        <v>46</v>
      </c>
      <c r="V44" s="90">
        <f t="shared" si="29"/>
        <v>29</v>
      </c>
      <c r="W44" s="7">
        <v>1</v>
      </c>
      <c r="X44" s="7"/>
      <c r="Y44" s="8"/>
      <c r="Z44" s="93" t="str">
        <f t="shared" si="34"/>
        <v/>
      </c>
      <c r="AA44" s="94">
        <f t="shared" si="35"/>
        <v>0.15142857142857213</v>
      </c>
      <c r="AB44" s="95">
        <f t="shared" si="36"/>
        <v>43285.291669999999</v>
      </c>
      <c r="AC44" s="78">
        <f t="shared" si="30"/>
        <v>7</v>
      </c>
      <c r="AD44" s="78" t="s">
        <v>46</v>
      </c>
      <c r="AE44" s="78">
        <f t="shared" si="31"/>
        <v>0</v>
      </c>
      <c r="AF44" s="10"/>
      <c r="AG44" s="10"/>
      <c r="AH44" s="10"/>
    </row>
    <row r="45" spans="1:34" ht="15.75" x14ac:dyDescent="0.25">
      <c r="A45" s="84" t="s">
        <v>145</v>
      </c>
      <c r="B45" s="78">
        <f>VLOOKUP(A45,base!A$3:B$100,2)</f>
        <v>61.5</v>
      </c>
      <c r="C45" s="79">
        <f t="shared" si="24"/>
        <v>1.8671428571428574</v>
      </c>
      <c r="D45" s="80">
        <f>VLOOKUP(A45,base!A$3:J$100,9)+Y45</f>
        <v>18.671428571428574</v>
      </c>
      <c r="E45" s="83">
        <f>E44+base!B39</f>
        <v>2279.6999999999998</v>
      </c>
      <c r="F45" s="82" t="str">
        <f>base!F39</f>
        <v>12,4Km road</v>
      </c>
      <c r="G45" s="67" t="s">
        <v>109</v>
      </c>
      <c r="H45" s="10"/>
      <c r="I45" s="71" t="b">
        <v>0</v>
      </c>
      <c r="J45" s="71">
        <f t="shared" si="25"/>
        <v>18</v>
      </c>
      <c r="K45" s="85" t="str">
        <f t="shared" si="37"/>
        <v/>
      </c>
      <c r="L45" s="86" t="str">
        <f t="shared" si="38"/>
        <v/>
      </c>
      <c r="M45" s="87" t="e">
        <f t="shared" si="32"/>
        <v>#VALUE!</v>
      </c>
      <c r="N45" s="87" t="e">
        <f t="shared" si="26"/>
        <v>#VALUE!</v>
      </c>
      <c r="O45" s="79">
        <f t="shared" si="39"/>
        <v>0</v>
      </c>
      <c r="P45" s="88" t="str">
        <f>IF(I45=TRUE,SUMIFS(base!D$3:D$100,base!C$3:C$100,base!C39),"")</f>
        <v/>
      </c>
      <c r="Q45" s="79" t="str">
        <f t="shared" si="27"/>
        <v/>
      </c>
      <c r="R45" s="88" t="str">
        <f t="shared" si="28"/>
        <v/>
      </c>
      <c r="S45" s="92">
        <f t="shared" si="33"/>
        <v>43285.291669999999</v>
      </c>
      <c r="T45" s="90">
        <f t="shared" si="4"/>
        <v>7</v>
      </c>
      <c r="U45" s="91" t="s">
        <v>46</v>
      </c>
      <c r="V45" s="90">
        <f t="shared" si="29"/>
        <v>0</v>
      </c>
      <c r="W45" s="7"/>
      <c r="X45" s="7"/>
      <c r="Y45" s="8"/>
      <c r="Z45" s="93" t="str">
        <f t="shared" si="34"/>
        <v/>
      </c>
      <c r="AA45" s="94">
        <f t="shared" si="35"/>
        <v>0</v>
      </c>
      <c r="AB45" s="95">
        <f t="shared" si="36"/>
        <v>43285.291669999999</v>
      </c>
      <c r="AC45" s="78">
        <f t="shared" si="30"/>
        <v>7</v>
      </c>
      <c r="AD45" s="78" t="s">
        <v>46</v>
      </c>
      <c r="AE45" s="78">
        <f t="shared" si="31"/>
        <v>0</v>
      </c>
      <c r="AF45" s="10"/>
      <c r="AG45" s="10"/>
      <c r="AH45" s="10"/>
    </row>
    <row r="46" spans="1:34" ht="15.75" x14ac:dyDescent="0.25">
      <c r="A46" s="84" t="s">
        <v>148</v>
      </c>
      <c r="B46" s="78">
        <f>VLOOKUP(A46,base!A$3:B$100,2)</f>
        <v>12.4</v>
      </c>
      <c r="C46" s="79">
        <f t="shared" si="24"/>
        <v>0.95553571428571438</v>
      </c>
      <c r="D46" s="80">
        <f>VLOOKUP(A46,base!A$3:J$100,9)+Y46</f>
        <v>9.5553571428571438</v>
      </c>
      <c r="E46" s="83">
        <f>E45+base!B40</f>
        <v>2292.1</v>
      </c>
      <c r="F46" s="82" t="str">
        <f>base!F40</f>
        <v>0Km</v>
      </c>
      <c r="G46" s="67" t="s">
        <v>109</v>
      </c>
      <c r="H46" s="10"/>
      <c r="I46" s="71" t="b">
        <v>1</v>
      </c>
      <c r="J46" s="71">
        <f t="shared" si="25"/>
        <v>18</v>
      </c>
      <c r="K46" s="85">
        <f t="shared" si="37"/>
        <v>73.900000000000006</v>
      </c>
      <c r="L46" s="86">
        <f t="shared" si="38"/>
        <v>2.8226785714285718</v>
      </c>
      <c r="M46" s="87">
        <f t="shared" si="32"/>
        <v>0.34278273809523824</v>
      </c>
      <c r="N46" s="87">
        <f t="shared" si="26"/>
        <v>2.3427827380952384</v>
      </c>
      <c r="O46" s="79">
        <f t="shared" si="39"/>
        <v>28.226785714285718</v>
      </c>
      <c r="P46" s="88">
        <f>IF(I46=TRUE,SUMIFS(base!D$3:D$100,base!C$3:C$100,base!C40),"")</f>
        <v>445</v>
      </c>
      <c r="Q46" s="79">
        <f t="shared" si="27"/>
        <v>26.180805972037703</v>
      </c>
      <c r="R46" s="88">
        <f t="shared" si="28"/>
        <v>157.65167330929333</v>
      </c>
      <c r="S46" s="92">
        <f t="shared" si="33"/>
        <v>43287.634452738093</v>
      </c>
      <c r="T46" s="90">
        <f t="shared" si="4"/>
        <v>15</v>
      </c>
      <c r="U46" s="91" t="s">
        <v>46</v>
      </c>
      <c r="V46" s="90">
        <f t="shared" si="29"/>
        <v>13</v>
      </c>
      <c r="W46" s="7"/>
      <c r="X46" s="7"/>
      <c r="Y46" s="8">
        <v>6</v>
      </c>
      <c r="Z46" s="93" t="str">
        <f t="shared" si="34"/>
        <v/>
      </c>
      <c r="AA46" s="94">
        <f t="shared" si="35"/>
        <v>0</v>
      </c>
      <c r="AB46" s="95">
        <f t="shared" si="36"/>
        <v>43287.634452738093</v>
      </c>
      <c r="AC46" s="78">
        <f t="shared" si="30"/>
        <v>15</v>
      </c>
      <c r="AD46" s="78" t="s">
        <v>46</v>
      </c>
      <c r="AE46" s="78">
        <f t="shared" si="31"/>
        <v>13</v>
      </c>
      <c r="AF46" s="10"/>
      <c r="AG46" s="10"/>
      <c r="AH46" s="10"/>
    </row>
    <row r="47" spans="1:34" ht="15.75" x14ac:dyDescent="0.25">
      <c r="A47" s="84" t="s">
        <v>150</v>
      </c>
      <c r="B47" s="78">
        <f>VLOOKUP(A47,base!A$3:B$100,2)</f>
        <v>133.5</v>
      </c>
      <c r="C47" s="79">
        <f t="shared" si="24"/>
        <v>4.4237857142857147</v>
      </c>
      <c r="D47" s="80">
        <f>VLOOKUP(A47,base!A$3:J$100,9)+Y47</f>
        <v>44.237857142857145</v>
      </c>
      <c r="E47" s="83">
        <f>E46+base!B41</f>
        <v>2425.6</v>
      </c>
      <c r="F47" s="82" t="str">
        <f>base!F41</f>
        <v>3,2Km road</v>
      </c>
      <c r="G47" s="67" t="s">
        <v>109</v>
      </c>
      <c r="H47" s="10"/>
      <c r="I47" s="71" t="b">
        <v>0</v>
      </c>
      <c r="J47" s="71">
        <f t="shared" si="25"/>
        <v>19</v>
      </c>
      <c r="K47" s="85" t="str">
        <f t="shared" si="37"/>
        <v/>
      </c>
      <c r="L47" s="86" t="str">
        <f t="shared" si="38"/>
        <v/>
      </c>
      <c r="M47" s="87" t="e">
        <f t="shared" si="32"/>
        <v>#VALUE!</v>
      </c>
      <c r="N47" s="87" t="e">
        <f t="shared" si="26"/>
        <v>#VALUE!</v>
      </c>
      <c r="O47" s="79">
        <f t="shared" si="39"/>
        <v>0</v>
      </c>
      <c r="P47" s="88" t="str">
        <f>IF(I47=TRUE,SUMIFS(base!D$3:D$100,base!C$3:C$100,base!C41),"")</f>
        <v/>
      </c>
      <c r="Q47" s="79" t="str">
        <f t="shared" si="27"/>
        <v/>
      </c>
      <c r="R47" s="88" t="str">
        <f t="shared" si="28"/>
        <v/>
      </c>
      <c r="S47" s="92">
        <f t="shared" si="33"/>
        <v>43287.634452738093</v>
      </c>
      <c r="T47" s="90">
        <f t="shared" si="4"/>
        <v>15</v>
      </c>
      <c r="U47" s="91" t="s">
        <v>46</v>
      </c>
      <c r="V47" s="90">
        <f t="shared" si="29"/>
        <v>13</v>
      </c>
      <c r="W47" s="7"/>
      <c r="X47" s="7"/>
      <c r="Y47" s="8"/>
      <c r="Z47" s="93" t="str">
        <f t="shared" si="34"/>
        <v/>
      </c>
      <c r="AA47" s="94">
        <f t="shared" si="35"/>
        <v>0</v>
      </c>
      <c r="AB47" s="95">
        <f t="shared" si="36"/>
        <v>43287.634452738093</v>
      </c>
      <c r="AC47" s="78">
        <f t="shared" si="30"/>
        <v>15</v>
      </c>
      <c r="AD47" s="78" t="s">
        <v>46</v>
      </c>
      <c r="AE47" s="78">
        <f t="shared" si="31"/>
        <v>13</v>
      </c>
      <c r="AF47" s="10"/>
      <c r="AG47" s="10"/>
      <c r="AH47" s="10"/>
    </row>
    <row r="48" spans="1:34" ht="15.75" x14ac:dyDescent="0.25">
      <c r="A48" s="84" t="s">
        <v>152</v>
      </c>
      <c r="B48" s="78">
        <f>VLOOKUP(A48,base!A$3:B$100,2)</f>
        <v>96.1</v>
      </c>
      <c r="C48" s="79">
        <f t="shared" si="24"/>
        <v>3.2437142857142853</v>
      </c>
      <c r="D48" s="80">
        <f>VLOOKUP(A48,base!A$3:J$100,9)+Y48</f>
        <v>32.437142857142852</v>
      </c>
      <c r="E48" s="83">
        <f>E47+base!B42</f>
        <v>2521.6999999999998</v>
      </c>
      <c r="F48" s="82">
        <f>base!F42</f>
        <v>0</v>
      </c>
      <c r="G48" s="67" t="s">
        <v>109</v>
      </c>
      <c r="H48" s="10"/>
      <c r="I48" s="71" t="b">
        <v>1</v>
      </c>
      <c r="J48" s="71">
        <f t="shared" si="25"/>
        <v>19</v>
      </c>
      <c r="K48" s="85">
        <f t="shared" si="37"/>
        <v>229.6</v>
      </c>
      <c r="L48" s="86">
        <f t="shared" si="38"/>
        <v>7.6675000000000004</v>
      </c>
      <c r="M48" s="87">
        <f t="shared" si="32"/>
        <v>0.2781249999999999</v>
      </c>
      <c r="N48" s="87">
        <f t="shared" si="26"/>
        <v>7.2781250000000002</v>
      </c>
      <c r="O48" s="79">
        <f t="shared" si="39"/>
        <v>76.674999999999997</v>
      </c>
      <c r="P48" s="88">
        <f>IF(I48=TRUE,SUMIFS(base!D$3:D$100,base!C$3:C$100,base!C42),"")</f>
        <v>4430</v>
      </c>
      <c r="Q48" s="79">
        <f t="shared" si="27"/>
        <v>29.944571242256274</v>
      </c>
      <c r="R48" s="88">
        <f t="shared" si="28"/>
        <v>577.76328659928265</v>
      </c>
      <c r="S48" s="92">
        <f t="shared" si="33"/>
        <v>43294.91257773809</v>
      </c>
      <c r="T48" s="90">
        <f t="shared" si="4"/>
        <v>21</v>
      </c>
      <c r="U48" s="91" t="s">
        <v>46</v>
      </c>
      <c r="V48" s="90">
        <f t="shared" si="29"/>
        <v>54</v>
      </c>
      <c r="W48" s="7">
        <v>1</v>
      </c>
      <c r="X48" s="7"/>
      <c r="Y48" s="8"/>
      <c r="Z48" s="93" t="str">
        <f t="shared" si="34"/>
        <v/>
      </c>
      <c r="AA48" s="94">
        <f t="shared" si="35"/>
        <v>0.33249999999999957</v>
      </c>
      <c r="AB48" s="95">
        <f t="shared" si="36"/>
        <v>43295.291669999999</v>
      </c>
      <c r="AC48" s="78">
        <f t="shared" si="30"/>
        <v>7</v>
      </c>
      <c r="AD48" s="78" t="s">
        <v>46</v>
      </c>
      <c r="AE48" s="78">
        <f t="shared" si="31"/>
        <v>0</v>
      </c>
      <c r="AF48" s="10"/>
      <c r="AG48" s="10"/>
      <c r="AH48" s="10"/>
    </row>
    <row r="49" spans="1:34" ht="15.75" x14ac:dyDescent="0.25">
      <c r="A49" s="84" t="s">
        <v>154</v>
      </c>
      <c r="B49" s="78">
        <f>VLOOKUP(A49,base!A$3:B$100,2)</f>
        <v>32</v>
      </c>
      <c r="C49" s="79">
        <f t="shared" si="24"/>
        <v>1.1427857142857143</v>
      </c>
      <c r="D49" s="80">
        <f>VLOOKUP(A49,base!A$3:J$100,9)+Y49</f>
        <v>11.427857142857142</v>
      </c>
      <c r="E49" s="83">
        <f>E48+base!B43</f>
        <v>2553.6999999999998</v>
      </c>
      <c r="F49" s="82">
        <f>base!F43</f>
        <v>0</v>
      </c>
      <c r="G49" s="67" t="s">
        <v>109</v>
      </c>
      <c r="H49" s="10"/>
      <c r="I49" s="71" t="b">
        <v>0</v>
      </c>
      <c r="J49" s="71">
        <f t="shared" si="25"/>
        <v>20</v>
      </c>
      <c r="K49" s="85" t="str">
        <f t="shared" si="37"/>
        <v/>
      </c>
      <c r="L49" s="86" t="str">
        <f t="shared" si="38"/>
        <v/>
      </c>
      <c r="M49" s="87" t="e">
        <f t="shared" si="32"/>
        <v>#VALUE!</v>
      </c>
      <c r="N49" s="87" t="e">
        <f t="shared" si="26"/>
        <v>#VALUE!</v>
      </c>
      <c r="O49" s="79">
        <f t="shared" si="39"/>
        <v>0</v>
      </c>
      <c r="P49" s="88" t="str">
        <f>IF(I49=TRUE,SUMIFS(base!D$3:D$100,base!C$3:C$100,base!C43),"")</f>
        <v/>
      </c>
      <c r="Q49" s="79" t="str">
        <f t="shared" si="27"/>
        <v/>
      </c>
      <c r="R49" s="88" t="str">
        <f t="shared" si="28"/>
        <v/>
      </c>
      <c r="S49" s="92">
        <f t="shared" si="33"/>
        <v>43295.291669999999</v>
      </c>
      <c r="T49" s="90">
        <f t="shared" si="4"/>
        <v>7</v>
      </c>
      <c r="U49" s="91" t="s">
        <v>46</v>
      </c>
      <c r="V49" s="90">
        <f t="shared" si="29"/>
        <v>0</v>
      </c>
      <c r="W49" s="7"/>
      <c r="X49" s="7"/>
      <c r="Y49" s="8"/>
      <c r="Z49" s="93" t="str">
        <f t="shared" si="34"/>
        <v/>
      </c>
      <c r="AA49" s="94">
        <f t="shared" si="35"/>
        <v>0</v>
      </c>
      <c r="AB49" s="95">
        <f t="shared" si="36"/>
        <v>43295.291669999999</v>
      </c>
      <c r="AC49" s="78">
        <f t="shared" si="30"/>
        <v>7</v>
      </c>
      <c r="AD49" s="78" t="s">
        <v>46</v>
      </c>
      <c r="AE49" s="78">
        <f t="shared" si="31"/>
        <v>0</v>
      </c>
      <c r="AF49" s="10"/>
      <c r="AG49" s="10"/>
      <c r="AH49" s="10"/>
    </row>
    <row r="50" spans="1:34" ht="15.75" x14ac:dyDescent="0.25">
      <c r="A50" s="84" t="s">
        <v>155</v>
      </c>
      <c r="B50" s="78">
        <f>VLOOKUP(A50,base!A$3:B$100,2)</f>
        <v>35.5</v>
      </c>
      <c r="C50" s="79">
        <f t="shared" si="24"/>
        <v>1.1370357142857141</v>
      </c>
      <c r="D50" s="80">
        <f>VLOOKUP(A50,base!A$3:J$100,9)+Y50</f>
        <v>11.370357142857141</v>
      </c>
      <c r="E50" s="83">
        <f>E49+base!B44</f>
        <v>2589.1999999999998</v>
      </c>
      <c r="F50" s="82" t="str">
        <f>base!F44</f>
        <v>16,7Km road</v>
      </c>
      <c r="G50" s="67" t="s">
        <v>109</v>
      </c>
      <c r="H50" s="10"/>
      <c r="I50" s="71" t="b">
        <v>1</v>
      </c>
      <c r="J50" s="71">
        <f t="shared" si="25"/>
        <v>20</v>
      </c>
      <c r="K50" s="85">
        <f t="shared" si="37"/>
        <v>67.5</v>
      </c>
      <c r="L50" s="86">
        <f t="shared" si="38"/>
        <v>2.2798214285714282</v>
      </c>
      <c r="M50" s="87">
        <f t="shared" si="32"/>
        <v>0.11659226190476184</v>
      </c>
      <c r="N50" s="87">
        <f t="shared" si="26"/>
        <v>2.1165922619047617</v>
      </c>
      <c r="O50" s="79">
        <f t="shared" si="39"/>
        <v>22.798214285714284</v>
      </c>
      <c r="P50" s="88">
        <f>IF(I50=TRUE,SUMIFS(base!D$3:D$100,base!C$3:C$100,base!C44),"")</f>
        <v>1405</v>
      </c>
      <c r="Q50" s="79">
        <f t="shared" si="27"/>
        <v>29.607582047466128</v>
      </c>
      <c r="R50" s="88">
        <f t="shared" si="28"/>
        <v>616.27633743244314</v>
      </c>
      <c r="S50" s="92">
        <f t="shared" si="33"/>
        <v>43297.408262261903</v>
      </c>
      <c r="T50" s="90">
        <f t="shared" si="4"/>
        <v>9</v>
      </c>
      <c r="U50" s="91" t="s">
        <v>46</v>
      </c>
      <c r="V50" s="90">
        <f t="shared" si="29"/>
        <v>47</v>
      </c>
      <c r="W50" s="7">
        <v>1</v>
      </c>
      <c r="X50" s="7"/>
      <c r="Y50" s="8"/>
      <c r="Z50" s="93" t="str">
        <f t="shared" si="34"/>
        <v/>
      </c>
      <c r="AA50" s="94">
        <f t="shared" si="35"/>
        <v>0.72017857142857178</v>
      </c>
      <c r="AB50" s="95">
        <f t="shared" si="36"/>
        <v>43298.291669999999</v>
      </c>
      <c r="AC50" s="78">
        <f t="shared" si="30"/>
        <v>7</v>
      </c>
      <c r="AD50" s="78" t="s">
        <v>46</v>
      </c>
      <c r="AE50" s="78">
        <f t="shared" si="31"/>
        <v>0</v>
      </c>
      <c r="AF50" s="10"/>
      <c r="AG50" s="10"/>
      <c r="AH50" s="10"/>
    </row>
    <row r="51" spans="1:34" ht="15.75" x14ac:dyDescent="0.25">
      <c r="A51" s="84" t="s">
        <v>158</v>
      </c>
      <c r="B51" s="78">
        <f>VLOOKUP(A51,base!A$3:B$100,2)</f>
        <v>89.9</v>
      </c>
      <c r="C51" s="79">
        <f t="shared" si="24"/>
        <v>2.8860714285714288</v>
      </c>
      <c r="D51" s="80">
        <f>VLOOKUP(A51,base!A$3:J$100,9)+Y51</f>
        <v>28.860714285714288</v>
      </c>
      <c r="E51" s="83">
        <f>E50+base!B45</f>
        <v>2679.1</v>
      </c>
      <c r="F51" s="82" t="str">
        <f>base!F45</f>
        <v>0Km</v>
      </c>
      <c r="G51" s="67" t="s">
        <v>109</v>
      </c>
      <c r="H51" s="10"/>
      <c r="I51" s="71" t="b">
        <v>0</v>
      </c>
      <c r="J51" s="71">
        <f t="shared" si="25"/>
        <v>21</v>
      </c>
      <c r="K51" s="85" t="str">
        <f t="shared" si="37"/>
        <v/>
      </c>
      <c r="L51" s="86" t="str">
        <f t="shared" si="38"/>
        <v/>
      </c>
      <c r="M51" s="87" t="e">
        <f t="shared" si="32"/>
        <v>#VALUE!</v>
      </c>
      <c r="N51" s="87" t="e">
        <f t="shared" si="26"/>
        <v>#VALUE!</v>
      </c>
      <c r="O51" s="79">
        <f t="shared" si="39"/>
        <v>0</v>
      </c>
      <c r="P51" s="88" t="str">
        <f>IF(I51=TRUE,SUMIFS(base!D$3:D$100,base!C$3:C$100,base!C45),"")</f>
        <v/>
      </c>
      <c r="Q51" s="79" t="str">
        <f t="shared" si="27"/>
        <v/>
      </c>
      <c r="R51" s="88" t="str">
        <f t="shared" si="28"/>
        <v/>
      </c>
      <c r="S51" s="92">
        <f t="shared" si="33"/>
        <v>43298.291669999999</v>
      </c>
      <c r="T51" s="90">
        <f t="shared" si="4"/>
        <v>7</v>
      </c>
      <c r="U51" s="91" t="s">
        <v>46</v>
      </c>
      <c r="V51" s="90">
        <f t="shared" si="29"/>
        <v>0</v>
      </c>
      <c r="W51" s="7"/>
      <c r="X51" s="7"/>
      <c r="Y51" s="8"/>
      <c r="Z51" s="93" t="str">
        <f t="shared" si="34"/>
        <v/>
      </c>
      <c r="AA51" s="94">
        <f t="shared" si="35"/>
        <v>0</v>
      </c>
      <c r="AB51" s="95">
        <f t="shared" si="36"/>
        <v>43298.291669999999</v>
      </c>
      <c r="AC51" s="78">
        <f t="shared" si="30"/>
        <v>7</v>
      </c>
      <c r="AD51" s="78" t="s">
        <v>46</v>
      </c>
      <c r="AE51" s="78">
        <f t="shared" si="31"/>
        <v>0</v>
      </c>
      <c r="AF51" s="10"/>
      <c r="AG51" s="10"/>
      <c r="AH51" s="10"/>
    </row>
    <row r="52" spans="1:34" ht="15.75" x14ac:dyDescent="0.25">
      <c r="A52" s="84" t="s">
        <v>160</v>
      </c>
      <c r="B52" s="78">
        <f>VLOOKUP(A52,base!A$3:B$100,2)</f>
        <v>103.9</v>
      </c>
      <c r="C52" s="79">
        <f t="shared" si="24"/>
        <v>3.7308214285714287</v>
      </c>
      <c r="D52" s="80">
        <f>VLOOKUP(A52,base!A$3:J$100,9)+Y52</f>
        <v>37.308214285714286</v>
      </c>
      <c r="E52" s="83">
        <f>E51+base!B46</f>
        <v>2783</v>
      </c>
      <c r="F52" s="82" t="str">
        <f>base!F46</f>
        <v>20,9Km road</v>
      </c>
      <c r="G52" s="67" t="s">
        <v>109</v>
      </c>
      <c r="H52" s="10"/>
      <c r="I52" s="71" t="b">
        <v>1</v>
      </c>
      <c r="J52" s="71">
        <f t="shared" si="25"/>
        <v>21</v>
      </c>
      <c r="K52" s="85">
        <f t="shared" si="37"/>
        <v>193.8</v>
      </c>
      <c r="L52" s="86">
        <f t="shared" si="38"/>
        <v>6.616892857142858</v>
      </c>
      <c r="M52" s="87">
        <f t="shared" si="32"/>
        <v>0.25703869047619082</v>
      </c>
      <c r="N52" s="87">
        <f t="shared" si="26"/>
        <v>6.2570386904761905</v>
      </c>
      <c r="O52" s="79">
        <f t="shared" si="39"/>
        <v>66.16892857142858</v>
      </c>
      <c r="P52" s="88">
        <f>IF(I52=TRUE,SUMIFS(base!D$3:D$100,base!C$3:C$100,base!C46),"")</f>
        <v>4319</v>
      </c>
      <c r="Q52" s="79">
        <f t="shared" si="27"/>
        <v>29.288671312063816</v>
      </c>
      <c r="R52" s="88">
        <f t="shared" si="28"/>
        <v>652.7232786212777</v>
      </c>
      <c r="S52" s="92">
        <f t="shared" si="33"/>
        <v>43304.548708690476</v>
      </c>
      <c r="T52" s="90">
        <f t="shared" si="4"/>
        <v>13</v>
      </c>
      <c r="U52" s="91" t="s">
        <v>46</v>
      </c>
      <c r="V52" s="90">
        <f t="shared" si="29"/>
        <v>10</v>
      </c>
      <c r="W52" s="7"/>
      <c r="X52" s="7"/>
      <c r="Y52" s="8"/>
      <c r="Z52" s="93" t="str">
        <f t="shared" si="34"/>
        <v>&lt;= !</v>
      </c>
      <c r="AA52" s="94">
        <f t="shared" si="35"/>
        <v>0</v>
      </c>
      <c r="AB52" s="95">
        <f t="shared" si="36"/>
        <v>43304.548708690476</v>
      </c>
      <c r="AC52" s="78">
        <f t="shared" si="30"/>
        <v>13</v>
      </c>
      <c r="AD52" s="78" t="s">
        <v>46</v>
      </c>
      <c r="AE52" s="78">
        <f t="shared" si="31"/>
        <v>10</v>
      </c>
      <c r="AF52" s="10"/>
      <c r="AG52" s="10"/>
      <c r="AH52" s="10"/>
    </row>
    <row r="53" spans="1:34" ht="15.75" x14ac:dyDescent="0.25">
      <c r="A53" s="84" t="s">
        <v>161</v>
      </c>
      <c r="B53" s="78">
        <f>VLOOKUP(A53,base!A$3:B$100,2)</f>
        <v>38</v>
      </c>
      <c r="C53" s="79">
        <f t="shared" si="24"/>
        <v>1.2874642857142857</v>
      </c>
      <c r="D53" s="80">
        <f>VLOOKUP(A53,base!A$3:J$100,9)+Y53</f>
        <v>12.874642857142858</v>
      </c>
      <c r="E53" s="83">
        <f>E52+base!B47</f>
        <v>2821</v>
      </c>
      <c r="F53" s="82" t="str">
        <f>base!F47</f>
        <v>1,3Km road</v>
      </c>
      <c r="G53" s="67" t="s">
        <v>109</v>
      </c>
      <c r="H53" s="10"/>
      <c r="I53" s="71" t="b">
        <v>0</v>
      </c>
      <c r="J53" s="71">
        <f t="shared" si="25"/>
        <v>22</v>
      </c>
      <c r="K53" s="85" t="str">
        <f t="shared" si="37"/>
        <v/>
      </c>
      <c r="L53" s="86" t="str">
        <f t="shared" si="38"/>
        <v/>
      </c>
      <c r="M53" s="87" t="e">
        <f t="shared" si="32"/>
        <v>#VALUE!</v>
      </c>
      <c r="N53" s="87" t="e">
        <f t="shared" si="26"/>
        <v>#VALUE!</v>
      </c>
      <c r="O53" s="79">
        <f t="shared" si="39"/>
        <v>0</v>
      </c>
      <c r="P53" s="88" t="str">
        <f>IF(I53=TRUE,SUMIFS(base!D$3:D$100,base!C$3:C$100,base!C47),"")</f>
        <v/>
      </c>
      <c r="Q53" s="79" t="str">
        <f t="shared" si="27"/>
        <v/>
      </c>
      <c r="R53" s="88" t="str">
        <f t="shared" si="28"/>
        <v/>
      </c>
      <c r="S53" s="92">
        <f t="shared" si="33"/>
        <v>43304.548708690476</v>
      </c>
      <c r="T53" s="90">
        <f t="shared" si="4"/>
        <v>13</v>
      </c>
      <c r="U53" s="91" t="s">
        <v>46</v>
      </c>
      <c r="V53" s="90">
        <f t="shared" si="29"/>
        <v>10</v>
      </c>
      <c r="W53" s="7"/>
      <c r="X53" s="7"/>
      <c r="Y53" s="8"/>
      <c r="Z53" s="93" t="str">
        <f t="shared" si="34"/>
        <v/>
      </c>
      <c r="AA53" s="94">
        <f t="shared" si="35"/>
        <v>0</v>
      </c>
      <c r="AB53" s="95">
        <f t="shared" si="36"/>
        <v>43304.548708690476</v>
      </c>
      <c r="AC53" s="78">
        <f t="shared" si="30"/>
        <v>13</v>
      </c>
      <c r="AD53" s="78" t="s">
        <v>46</v>
      </c>
      <c r="AE53" s="78">
        <f t="shared" si="31"/>
        <v>10</v>
      </c>
      <c r="AF53" s="10"/>
      <c r="AG53" s="10"/>
      <c r="AH53" s="10"/>
    </row>
    <row r="54" spans="1:34" ht="15.75" x14ac:dyDescent="0.25">
      <c r="A54" s="84" t="s">
        <v>164</v>
      </c>
      <c r="B54" s="78">
        <f>VLOOKUP(A54,base!A$3:B$100,2)</f>
        <v>48.9</v>
      </c>
      <c r="C54" s="79">
        <f t="shared" si="24"/>
        <v>1.5746428571428572</v>
      </c>
      <c r="D54" s="80">
        <f>VLOOKUP(A54,base!A$3:J$100,9)+Y54</f>
        <v>15.746428571428572</v>
      </c>
      <c r="E54" s="83">
        <f>E53+base!B48</f>
        <v>2869.9</v>
      </c>
      <c r="F54" s="82">
        <f>base!F48</f>
        <v>0</v>
      </c>
      <c r="G54" s="67" t="s">
        <v>109</v>
      </c>
      <c r="H54" s="10"/>
      <c r="I54" s="71" t="b">
        <v>0</v>
      </c>
      <c r="J54" s="71">
        <f t="shared" si="25"/>
        <v>22</v>
      </c>
      <c r="K54" s="85" t="str">
        <f t="shared" si="37"/>
        <v/>
      </c>
      <c r="L54" s="86" t="str">
        <f t="shared" si="38"/>
        <v/>
      </c>
      <c r="M54" s="87" t="e">
        <f t="shared" si="32"/>
        <v>#VALUE!</v>
      </c>
      <c r="N54" s="87" t="e">
        <f t="shared" si="26"/>
        <v>#VALUE!</v>
      </c>
      <c r="O54" s="79">
        <f t="shared" si="39"/>
        <v>0</v>
      </c>
      <c r="P54" s="88" t="str">
        <f>IF(I54=TRUE,SUMIFS(base!D$3:D$100,base!C$3:C$100,base!C48),"")</f>
        <v/>
      </c>
      <c r="Q54" s="79" t="str">
        <f t="shared" si="27"/>
        <v/>
      </c>
      <c r="R54" s="88" t="str">
        <f t="shared" si="28"/>
        <v/>
      </c>
      <c r="S54" s="92">
        <f t="shared" si="33"/>
        <v>43304.548708690476</v>
      </c>
      <c r="T54" s="90">
        <f t="shared" si="4"/>
        <v>13</v>
      </c>
      <c r="U54" s="91" t="s">
        <v>46</v>
      </c>
      <c r="V54" s="90">
        <f t="shared" si="29"/>
        <v>10</v>
      </c>
      <c r="W54" s="7"/>
      <c r="X54" s="7"/>
      <c r="Y54" s="8"/>
      <c r="Z54" s="93" t="str">
        <f t="shared" si="34"/>
        <v/>
      </c>
      <c r="AA54" s="94">
        <f t="shared" si="35"/>
        <v>0</v>
      </c>
      <c r="AB54" s="95">
        <f t="shared" si="36"/>
        <v>43304.548708690476</v>
      </c>
      <c r="AC54" s="78">
        <f t="shared" si="30"/>
        <v>13</v>
      </c>
      <c r="AD54" s="78" t="s">
        <v>46</v>
      </c>
      <c r="AE54" s="78">
        <f t="shared" si="31"/>
        <v>10</v>
      </c>
      <c r="AF54" s="10"/>
      <c r="AG54" s="10"/>
      <c r="AH54" s="10"/>
    </row>
    <row r="55" spans="1:34" ht="15.75" x14ac:dyDescent="0.25">
      <c r="A55" s="84" t="s">
        <v>167</v>
      </c>
      <c r="B55" s="78">
        <f>VLOOKUP(A55,base!A$3:B$100,2)</f>
        <v>80.2</v>
      </c>
      <c r="C55" s="79">
        <f t="shared" si="24"/>
        <v>2.6294285714285714</v>
      </c>
      <c r="D55" s="80">
        <f>VLOOKUP(A55,base!A$3:J$100,9)+Y55</f>
        <v>26.294285714285714</v>
      </c>
      <c r="E55" s="83">
        <f>E54+base!B49</f>
        <v>2950.1</v>
      </c>
      <c r="F55" s="82" t="str">
        <f>base!F49</f>
        <v>3,2Km road</v>
      </c>
      <c r="G55" s="67" t="s">
        <v>109</v>
      </c>
      <c r="H55" s="10"/>
      <c r="I55" s="71" t="b">
        <v>1</v>
      </c>
      <c r="J55" s="71">
        <f t="shared" si="25"/>
        <v>22</v>
      </c>
      <c r="K55" s="85">
        <f t="shared" si="37"/>
        <v>167.10000000000002</v>
      </c>
      <c r="L55" s="86">
        <f t="shared" si="38"/>
        <v>5.491535714285714</v>
      </c>
      <c r="M55" s="87">
        <f t="shared" si="32"/>
        <v>0.20480654761904779</v>
      </c>
      <c r="N55" s="87">
        <f t="shared" si="26"/>
        <v>5.2048065476190475</v>
      </c>
      <c r="O55" s="79">
        <f t="shared" si="39"/>
        <v>54.915357142857147</v>
      </c>
      <c r="P55" s="88">
        <f>IF(I55=TRUE,SUMIFS(base!D$3:D$100,base!C$3:C$100,base!C49),"")</f>
        <v>2869</v>
      </c>
      <c r="Q55" s="79">
        <f t="shared" si="27"/>
        <v>30.428646683532456</v>
      </c>
      <c r="R55" s="88">
        <f t="shared" si="28"/>
        <v>522.44037902486298</v>
      </c>
      <c r="S55" s="92">
        <f t="shared" si="33"/>
        <v>43309.753515238095</v>
      </c>
      <c r="T55" s="90">
        <f t="shared" si="4"/>
        <v>18</v>
      </c>
      <c r="U55" s="91" t="s">
        <v>46</v>
      </c>
      <c r="V55" s="90">
        <f t="shared" si="29"/>
        <v>5</v>
      </c>
      <c r="W55" s="7">
        <v>1</v>
      </c>
      <c r="X55" s="7"/>
      <c r="Y55" s="8"/>
      <c r="Z55" s="93" t="str">
        <f t="shared" si="34"/>
        <v/>
      </c>
      <c r="AA55" s="94">
        <f t="shared" si="35"/>
        <v>0.50846428571428604</v>
      </c>
      <c r="AB55" s="95">
        <f t="shared" si="36"/>
        <v>43310.291669999999</v>
      </c>
      <c r="AC55" s="78">
        <f t="shared" si="30"/>
        <v>7</v>
      </c>
      <c r="AD55" s="78" t="s">
        <v>46</v>
      </c>
      <c r="AE55" s="78">
        <f t="shared" si="31"/>
        <v>0</v>
      </c>
      <c r="AF55" s="10"/>
      <c r="AG55" s="10"/>
      <c r="AH55" s="10"/>
    </row>
    <row r="56" spans="1:34" ht="15.75" x14ac:dyDescent="0.25">
      <c r="A56" s="84" t="s">
        <v>168</v>
      </c>
      <c r="B56" s="78">
        <f>VLOOKUP(A56,base!A$3:B$100,2)</f>
        <v>35.6</v>
      </c>
      <c r="C56" s="79">
        <f t="shared" si="24"/>
        <v>1.1628928571428572</v>
      </c>
      <c r="D56" s="80">
        <f>VLOOKUP(A56,base!A$3:J$100,9)+Y56</f>
        <v>11.628928571428572</v>
      </c>
      <c r="E56" s="83">
        <f>E55+base!B50</f>
        <v>2985.7</v>
      </c>
      <c r="F56" s="82">
        <f>base!F50</f>
        <v>0</v>
      </c>
      <c r="G56" s="67" t="s">
        <v>109</v>
      </c>
      <c r="H56" s="10"/>
      <c r="I56" s="71" t="b">
        <v>0</v>
      </c>
      <c r="J56" s="71">
        <f t="shared" si="25"/>
        <v>23</v>
      </c>
      <c r="K56" s="85" t="str">
        <f t="shared" si="37"/>
        <v/>
      </c>
      <c r="L56" s="86" t="str">
        <f t="shared" si="38"/>
        <v/>
      </c>
      <c r="M56" s="87" t="e">
        <f t="shared" si="32"/>
        <v>#VALUE!</v>
      </c>
      <c r="N56" s="87" t="e">
        <f t="shared" si="26"/>
        <v>#VALUE!</v>
      </c>
      <c r="O56" s="79">
        <f t="shared" si="39"/>
        <v>0</v>
      </c>
      <c r="P56" s="88" t="str">
        <f>IF(I56=TRUE,SUMIFS(base!D$3:D$100,base!C$3:C$100,base!C50),"")</f>
        <v/>
      </c>
      <c r="Q56" s="79" t="str">
        <f t="shared" si="27"/>
        <v/>
      </c>
      <c r="R56" s="88" t="str">
        <f t="shared" si="28"/>
        <v/>
      </c>
      <c r="S56" s="92">
        <f t="shared" si="33"/>
        <v>43310.291669999999</v>
      </c>
      <c r="T56" s="90">
        <f t="shared" si="4"/>
        <v>7</v>
      </c>
      <c r="U56" s="91" t="s">
        <v>46</v>
      </c>
      <c r="V56" s="90">
        <f t="shared" si="29"/>
        <v>0</v>
      </c>
      <c r="W56" s="7"/>
      <c r="X56" s="7"/>
      <c r="Y56" s="8"/>
      <c r="Z56" s="93" t="str">
        <f t="shared" si="34"/>
        <v/>
      </c>
      <c r="AA56" s="94">
        <f t="shared" si="35"/>
        <v>0</v>
      </c>
      <c r="AB56" s="95">
        <f t="shared" si="36"/>
        <v>43310.291669999999</v>
      </c>
      <c r="AC56" s="78">
        <f t="shared" si="30"/>
        <v>7</v>
      </c>
      <c r="AD56" s="78" t="s">
        <v>46</v>
      </c>
      <c r="AE56" s="78">
        <f t="shared" si="31"/>
        <v>0</v>
      </c>
      <c r="AF56" s="10"/>
      <c r="AG56" s="10"/>
      <c r="AH56" s="10"/>
    </row>
    <row r="57" spans="1:34" ht="15.75" x14ac:dyDescent="0.25">
      <c r="A57" s="84" t="s">
        <v>169</v>
      </c>
      <c r="B57" s="78">
        <f>VLOOKUP(A57,base!A$3:B$100,2)</f>
        <v>48.9</v>
      </c>
      <c r="C57" s="79">
        <f t="shared" si="24"/>
        <v>1.6113928571428573</v>
      </c>
      <c r="D57" s="80">
        <f>VLOOKUP(A57,base!A$3:J$100,9)+Y57</f>
        <v>16.113928571428573</v>
      </c>
      <c r="E57" s="83">
        <f>E56+base!B51</f>
        <v>3034.6</v>
      </c>
      <c r="F57" s="82">
        <f>base!F51</f>
        <v>0</v>
      </c>
      <c r="G57" s="67" t="s">
        <v>109</v>
      </c>
      <c r="H57" s="10"/>
      <c r="I57" s="71" t="b">
        <v>0</v>
      </c>
      <c r="J57" s="71">
        <f t="shared" si="25"/>
        <v>23</v>
      </c>
      <c r="K57" s="85" t="str">
        <f t="shared" si="37"/>
        <v/>
      </c>
      <c r="L57" s="86" t="str">
        <f t="shared" si="38"/>
        <v/>
      </c>
      <c r="M57" s="87" t="e">
        <f t="shared" si="32"/>
        <v>#VALUE!</v>
      </c>
      <c r="N57" s="87" t="e">
        <f t="shared" si="26"/>
        <v>#VALUE!</v>
      </c>
      <c r="O57" s="79">
        <f t="shared" si="39"/>
        <v>0</v>
      </c>
      <c r="P57" s="88" t="str">
        <f>IF(I57=TRUE,SUMIFS(base!D$3:D$100,base!C$3:C$100,base!C51),"")</f>
        <v/>
      </c>
      <c r="Q57" s="79" t="str">
        <f t="shared" si="27"/>
        <v/>
      </c>
      <c r="R57" s="88" t="str">
        <f t="shared" si="28"/>
        <v/>
      </c>
      <c r="S57" s="92">
        <f t="shared" si="33"/>
        <v>43310.291669999999</v>
      </c>
      <c r="T57" s="90">
        <f t="shared" si="4"/>
        <v>7</v>
      </c>
      <c r="U57" s="91" t="s">
        <v>46</v>
      </c>
      <c r="V57" s="90">
        <f t="shared" si="29"/>
        <v>0</v>
      </c>
      <c r="W57" s="7"/>
      <c r="X57" s="7"/>
      <c r="Y57" s="8"/>
      <c r="Z57" s="93" t="str">
        <f t="shared" si="34"/>
        <v/>
      </c>
      <c r="AA57" s="94">
        <f t="shared" si="35"/>
        <v>0</v>
      </c>
      <c r="AB57" s="95">
        <f t="shared" si="36"/>
        <v>43310.291669999999</v>
      </c>
      <c r="AC57" s="78">
        <f t="shared" si="30"/>
        <v>7</v>
      </c>
      <c r="AD57" s="78" t="s">
        <v>46</v>
      </c>
      <c r="AE57" s="78">
        <f t="shared" si="31"/>
        <v>0</v>
      </c>
      <c r="AF57" s="10"/>
      <c r="AG57" s="10"/>
      <c r="AH57" s="10"/>
    </row>
    <row r="58" spans="1:34" ht="15.75" x14ac:dyDescent="0.25">
      <c r="A58" s="84" t="s">
        <v>171</v>
      </c>
      <c r="B58" s="78">
        <f>VLOOKUP(A58,base!A$3:B$100,2)</f>
        <v>47.2</v>
      </c>
      <c r="C58" s="79">
        <f t="shared" si="24"/>
        <v>1.5223214285714286</v>
      </c>
      <c r="D58" s="80">
        <f>VLOOKUP(A58,base!A$3:J$100,9)+Y58</f>
        <v>15.223214285714286</v>
      </c>
      <c r="E58" s="83">
        <f>E57+base!B52</f>
        <v>3081.7999999999997</v>
      </c>
      <c r="F58" s="82" t="str">
        <f>base!F52</f>
        <v>3,5Km trail</v>
      </c>
      <c r="G58" s="67" t="s">
        <v>109</v>
      </c>
      <c r="H58" s="10"/>
      <c r="I58" s="71" t="b">
        <v>1</v>
      </c>
      <c r="J58" s="71">
        <f t="shared" si="25"/>
        <v>23</v>
      </c>
      <c r="K58" s="85">
        <f t="shared" si="37"/>
        <v>131.69999999999999</v>
      </c>
      <c r="L58" s="86">
        <f t="shared" si="38"/>
        <v>4.2966071428571428</v>
      </c>
      <c r="M58" s="87">
        <f t="shared" si="32"/>
        <v>0.12358630952380967</v>
      </c>
      <c r="N58" s="87">
        <f t="shared" si="26"/>
        <v>4.1235863095238097</v>
      </c>
      <c r="O58" s="79">
        <f t="shared" si="39"/>
        <v>42.966071428571432</v>
      </c>
      <c r="P58" s="88">
        <f>IF(I58=TRUE,SUMIFS(base!D$3:D$100,base!C$3:C$100,base!C52),"")</f>
        <v>2135</v>
      </c>
      <c r="Q58" s="79">
        <f t="shared" si="27"/>
        <v>30.652092597980133</v>
      </c>
      <c r="R58" s="88">
        <f t="shared" si="28"/>
        <v>496.9037030879847</v>
      </c>
      <c r="S58" s="92">
        <f t="shared" si="33"/>
        <v>43314.415256309519</v>
      </c>
      <c r="T58" s="90">
        <f t="shared" si="4"/>
        <v>9</v>
      </c>
      <c r="U58" s="91" t="s">
        <v>46</v>
      </c>
      <c r="V58" s="90">
        <f t="shared" si="29"/>
        <v>57</v>
      </c>
      <c r="W58" s="7">
        <v>1</v>
      </c>
      <c r="X58" s="7"/>
      <c r="Y58" s="8"/>
      <c r="Z58" s="93" t="str">
        <f t="shared" si="34"/>
        <v/>
      </c>
      <c r="AA58" s="94">
        <f t="shared" si="35"/>
        <v>0.70339285714285715</v>
      </c>
      <c r="AB58" s="95">
        <f t="shared" si="36"/>
        <v>43315.291669999999</v>
      </c>
      <c r="AC58" s="78">
        <f t="shared" si="30"/>
        <v>7</v>
      </c>
      <c r="AD58" s="78" t="s">
        <v>46</v>
      </c>
      <c r="AE58" s="78">
        <f t="shared" si="31"/>
        <v>0</v>
      </c>
      <c r="AF58" s="10"/>
      <c r="AG58" s="10"/>
      <c r="AH58" s="10"/>
    </row>
    <row r="59" spans="1:34" ht="15.75" x14ac:dyDescent="0.25">
      <c r="A59" s="84" t="s">
        <v>174</v>
      </c>
      <c r="B59" s="78">
        <f>VLOOKUP(A59,base!A$3:B$100,2)</f>
        <v>74.2</v>
      </c>
      <c r="C59" s="79">
        <f t="shared" si="24"/>
        <v>2.3867500000000001</v>
      </c>
      <c r="D59" s="80">
        <f>VLOOKUP(A59,base!A$3:J$100,9)+Y59</f>
        <v>23.8675</v>
      </c>
      <c r="E59" s="83">
        <f>E58+base!B53</f>
        <v>3155.9999999999995</v>
      </c>
      <c r="F59" s="82" t="str">
        <f>base!F53</f>
        <v>1,6Km trail</v>
      </c>
      <c r="G59" s="67" t="s">
        <v>109</v>
      </c>
      <c r="H59" s="10"/>
      <c r="I59" s="71" t="b">
        <v>0</v>
      </c>
      <c r="J59" s="71">
        <f t="shared" si="25"/>
        <v>24</v>
      </c>
      <c r="K59" s="85" t="str">
        <f t="shared" si="37"/>
        <v/>
      </c>
      <c r="L59" s="86" t="str">
        <f t="shared" si="38"/>
        <v/>
      </c>
      <c r="M59" s="87" t="e">
        <f t="shared" si="32"/>
        <v>#VALUE!</v>
      </c>
      <c r="N59" s="87" t="e">
        <f t="shared" si="26"/>
        <v>#VALUE!</v>
      </c>
      <c r="O59" s="79">
        <f t="shared" si="39"/>
        <v>0</v>
      </c>
      <c r="P59" s="88" t="str">
        <f>IF(I59=TRUE,SUMIFS(base!D$3:D$100,base!C$3:C$100,base!C53),"")</f>
        <v/>
      </c>
      <c r="Q59" s="79" t="str">
        <f t="shared" si="27"/>
        <v/>
      </c>
      <c r="R59" s="88" t="str">
        <f t="shared" si="28"/>
        <v/>
      </c>
      <c r="S59" s="92">
        <f t="shared" si="33"/>
        <v>43315.291669999999</v>
      </c>
      <c r="T59" s="90">
        <f t="shared" si="4"/>
        <v>7</v>
      </c>
      <c r="U59" s="91" t="s">
        <v>46</v>
      </c>
      <c r="V59" s="90">
        <f t="shared" si="29"/>
        <v>0</v>
      </c>
      <c r="W59" s="7"/>
      <c r="X59" s="7"/>
      <c r="Y59" s="8"/>
      <c r="Z59" s="93" t="str">
        <f t="shared" si="34"/>
        <v/>
      </c>
      <c r="AA59" s="94">
        <f t="shared" si="35"/>
        <v>0</v>
      </c>
      <c r="AB59" s="95">
        <f t="shared" si="36"/>
        <v>43315.291669999999</v>
      </c>
      <c r="AC59" s="78">
        <f t="shared" si="30"/>
        <v>7</v>
      </c>
      <c r="AD59" s="78" t="s">
        <v>46</v>
      </c>
      <c r="AE59" s="78">
        <f t="shared" si="31"/>
        <v>0</v>
      </c>
      <c r="AF59" s="10"/>
      <c r="AG59" s="10"/>
      <c r="AH59" s="10"/>
    </row>
    <row r="60" spans="1:34" ht="15.75" x14ac:dyDescent="0.25">
      <c r="A60" s="84" t="s">
        <v>177</v>
      </c>
      <c r="B60" s="78">
        <f>VLOOKUP(A60,base!A$3:B$100,2)</f>
        <v>50.2</v>
      </c>
      <c r="C60" s="79">
        <f t="shared" si="24"/>
        <v>2.1140357142857145</v>
      </c>
      <c r="D60" s="80">
        <f>VLOOKUP(A60,base!A$3:J$100,9)+Y60</f>
        <v>21.140357142857145</v>
      </c>
      <c r="E60" s="83">
        <f>E59+base!B54</f>
        <v>3206.1999999999994</v>
      </c>
      <c r="F60" s="82" t="str">
        <f>base!F54</f>
        <v>24,1Km road</v>
      </c>
      <c r="G60" s="67" t="s">
        <v>109</v>
      </c>
      <c r="H60" s="10"/>
      <c r="I60" s="71" t="b">
        <v>1</v>
      </c>
      <c r="J60" s="71">
        <f t="shared" si="25"/>
        <v>24</v>
      </c>
      <c r="K60" s="85">
        <f t="shared" si="37"/>
        <v>124.4</v>
      </c>
      <c r="L60" s="86">
        <f t="shared" si="38"/>
        <v>4.5007857142857146</v>
      </c>
      <c r="M60" s="87">
        <f t="shared" si="32"/>
        <v>0.2086607142857145</v>
      </c>
      <c r="N60" s="87">
        <f t="shared" si="26"/>
        <v>4.2086607142857142</v>
      </c>
      <c r="O60" s="79">
        <f t="shared" si="39"/>
        <v>45.007857142857148</v>
      </c>
      <c r="P60" s="88">
        <f>IF(I60=TRUE,SUMIFS(base!D$3:D$100,base!C$3:C$100,base!C54),"")</f>
        <v>1786</v>
      </c>
      <c r="Q60" s="79">
        <f t="shared" si="27"/>
        <v>27.639618479313135</v>
      </c>
      <c r="R60" s="88">
        <f t="shared" si="28"/>
        <v>396.81960292647312</v>
      </c>
      <c r="S60" s="92">
        <f t="shared" si="33"/>
        <v>43319.500330714283</v>
      </c>
      <c r="T60" s="90">
        <f t="shared" si="4"/>
        <v>12</v>
      </c>
      <c r="U60" s="91" t="s">
        <v>46</v>
      </c>
      <c r="V60" s="90">
        <f t="shared" si="29"/>
        <v>0</v>
      </c>
      <c r="W60" s="7"/>
      <c r="X60" s="7"/>
      <c r="Y60" s="8">
        <v>5</v>
      </c>
      <c r="Z60" s="93" t="str">
        <f t="shared" si="34"/>
        <v/>
      </c>
      <c r="AA60" s="94">
        <f t="shared" si="35"/>
        <v>0</v>
      </c>
      <c r="AB60" s="95">
        <f t="shared" si="36"/>
        <v>43319.500330714283</v>
      </c>
      <c r="AC60" s="78">
        <f t="shared" si="30"/>
        <v>12</v>
      </c>
      <c r="AD60" s="78" t="s">
        <v>46</v>
      </c>
      <c r="AE60" s="78">
        <f t="shared" si="31"/>
        <v>0</v>
      </c>
      <c r="AF60" s="10"/>
      <c r="AG60" s="10"/>
      <c r="AH60" s="10"/>
    </row>
    <row r="61" spans="1:34" ht="15.75" x14ac:dyDescent="0.25">
      <c r="A61" s="84" t="s">
        <v>180</v>
      </c>
      <c r="B61" s="78">
        <f>VLOOKUP(A61,base!A$3:B$100,2)</f>
        <v>18.399999999999999</v>
      </c>
      <c r="C61" s="79">
        <f t="shared" si="24"/>
        <v>0.67471428571428571</v>
      </c>
      <c r="D61" s="80">
        <f>VLOOKUP(A61,base!A$3:J$100,9)+Y61</f>
        <v>6.7471428571428573</v>
      </c>
      <c r="E61" s="83">
        <f>E60+base!B55</f>
        <v>3224.5999999999995</v>
      </c>
      <c r="F61" s="82" t="str">
        <f>base!F55</f>
        <v>1,3km trail</v>
      </c>
      <c r="G61" s="67" t="s">
        <v>109</v>
      </c>
      <c r="H61" s="10"/>
      <c r="I61" s="71" t="b">
        <v>0</v>
      </c>
      <c r="J61" s="71">
        <f t="shared" si="25"/>
        <v>25</v>
      </c>
      <c r="K61" s="85" t="str">
        <f t="shared" si="37"/>
        <v/>
      </c>
      <c r="L61" s="86" t="str">
        <f t="shared" si="38"/>
        <v/>
      </c>
      <c r="M61" s="87" t="e">
        <f t="shared" si="32"/>
        <v>#VALUE!</v>
      </c>
      <c r="N61" s="87" t="e">
        <f t="shared" si="26"/>
        <v>#VALUE!</v>
      </c>
      <c r="O61" s="79">
        <f t="shared" si="39"/>
        <v>0</v>
      </c>
      <c r="P61" s="88" t="str">
        <f>IF(I61=TRUE,SUMIFS(base!D$3:D$100,base!C$3:C$100,base!C55),"")</f>
        <v/>
      </c>
      <c r="Q61" s="79" t="str">
        <f t="shared" si="27"/>
        <v/>
      </c>
      <c r="R61" s="88" t="str">
        <f t="shared" si="28"/>
        <v/>
      </c>
      <c r="S61" s="92">
        <f t="shared" si="33"/>
        <v>43319.500330714283</v>
      </c>
      <c r="T61" s="90">
        <f t="shared" si="4"/>
        <v>12</v>
      </c>
      <c r="U61" s="91" t="s">
        <v>46</v>
      </c>
      <c r="V61" s="90">
        <f t="shared" si="29"/>
        <v>0</v>
      </c>
      <c r="W61" s="7"/>
      <c r="X61" s="7"/>
      <c r="Y61" s="8"/>
      <c r="Z61" s="93" t="str">
        <f t="shared" si="34"/>
        <v/>
      </c>
      <c r="AA61" s="94">
        <f t="shared" si="35"/>
        <v>0</v>
      </c>
      <c r="AB61" s="95">
        <f t="shared" si="36"/>
        <v>43319.500330714283</v>
      </c>
      <c r="AC61" s="78">
        <f t="shared" si="30"/>
        <v>12</v>
      </c>
      <c r="AD61" s="78" t="s">
        <v>46</v>
      </c>
      <c r="AE61" s="78">
        <f t="shared" si="31"/>
        <v>0</v>
      </c>
      <c r="AF61" s="10"/>
      <c r="AG61" s="10"/>
      <c r="AH61" s="10"/>
    </row>
    <row r="62" spans="1:34" ht="15.75" x14ac:dyDescent="0.25">
      <c r="A62" s="84" t="s">
        <v>183</v>
      </c>
      <c r="B62" s="78">
        <f>VLOOKUP(A62,base!A$3:B$100,2)</f>
        <v>84.1</v>
      </c>
      <c r="C62" s="79">
        <f t="shared" si="24"/>
        <v>2.8731071428571431</v>
      </c>
      <c r="D62" s="80">
        <f>VLOOKUP(A62,base!A$3:J$100,9)+Y62</f>
        <v>28.731071428571429</v>
      </c>
      <c r="E62" s="83">
        <f>E61+base!B56</f>
        <v>3308.6999999999994</v>
      </c>
      <c r="F62" s="82" t="str">
        <f>base!F56</f>
        <v>0Km</v>
      </c>
      <c r="G62" s="67" t="s">
        <v>109</v>
      </c>
      <c r="H62" s="10"/>
      <c r="I62" s="71" t="b">
        <v>0</v>
      </c>
      <c r="J62" s="71">
        <f t="shared" si="25"/>
        <v>25</v>
      </c>
      <c r="K62" s="85" t="str">
        <f t="shared" si="37"/>
        <v/>
      </c>
      <c r="L62" s="86" t="str">
        <f t="shared" si="38"/>
        <v/>
      </c>
      <c r="M62" s="87" t="e">
        <f t="shared" si="32"/>
        <v>#VALUE!</v>
      </c>
      <c r="N62" s="87" t="e">
        <f t="shared" si="26"/>
        <v>#VALUE!</v>
      </c>
      <c r="O62" s="79">
        <f t="shared" si="39"/>
        <v>0</v>
      </c>
      <c r="P62" s="88" t="str">
        <f>IF(I62=TRUE,SUMIFS(base!D$3:D$100,base!C$3:C$100,base!C56),"")</f>
        <v/>
      </c>
      <c r="Q62" s="79" t="str">
        <f t="shared" si="27"/>
        <v/>
      </c>
      <c r="R62" s="88" t="str">
        <f t="shared" si="28"/>
        <v/>
      </c>
      <c r="S62" s="92">
        <f t="shared" si="33"/>
        <v>43319.500330714283</v>
      </c>
      <c r="T62" s="90">
        <f t="shared" si="4"/>
        <v>12</v>
      </c>
      <c r="U62" s="91" t="s">
        <v>46</v>
      </c>
      <c r="V62" s="90">
        <f t="shared" si="29"/>
        <v>0</v>
      </c>
      <c r="W62" s="7"/>
      <c r="X62" s="7"/>
      <c r="Y62" s="8"/>
      <c r="Z62" s="93" t="str">
        <f t="shared" si="34"/>
        <v/>
      </c>
      <c r="AA62" s="94">
        <f t="shared" si="35"/>
        <v>0</v>
      </c>
      <c r="AB62" s="95">
        <f t="shared" si="36"/>
        <v>43319.500330714283</v>
      </c>
      <c r="AC62" s="78">
        <f t="shared" si="30"/>
        <v>12</v>
      </c>
      <c r="AD62" s="78" t="s">
        <v>46</v>
      </c>
      <c r="AE62" s="78">
        <f t="shared" si="31"/>
        <v>0</v>
      </c>
      <c r="AF62" s="10"/>
      <c r="AG62" s="10"/>
      <c r="AH62" s="10"/>
    </row>
    <row r="63" spans="1:34" ht="15.75" x14ac:dyDescent="0.25">
      <c r="A63" s="84" t="s">
        <v>185</v>
      </c>
      <c r="B63" s="78">
        <f>VLOOKUP(A63,base!A$3:B$100,2)</f>
        <v>71.2</v>
      </c>
      <c r="C63" s="79">
        <f t="shared" si="24"/>
        <v>2.5202857142857145</v>
      </c>
      <c r="D63" s="80">
        <f>VLOOKUP(A63,base!A$3:J$100,9)+Y63</f>
        <v>25.202857142857145</v>
      </c>
      <c r="E63" s="83">
        <f>E62+base!B57</f>
        <v>3379.8999999999992</v>
      </c>
      <c r="F63" s="82">
        <f>base!F57</f>
        <v>0</v>
      </c>
      <c r="G63" s="67" t="s">
        <v>109</v>
      </c>
      <c r="H63" s="10"/>
      <c r="I63" s="71" t="b">
        <v>1</v>
      </c>
      <c r="J63" s="71">
        <f t="shared" si="25"/>
        <v>25</v>
      </c>
      <c r="K63" s="85">
        <f t="shared" si="37"/>
        <v>173.7</v>
      </c>
      <c r="L63" s="86">
        <f t="shared" si="38"/>
        <v>6.0681071428571434</v>
      </c>
      <c r="M63" s="87">
        <f t="shared" si="32"/>
        <v>2.8377976190476179E-2</v>
      </c>
      <c r="N63" s="87">
        <f t="shared" si="26"/>
        <v>6.0283779761904759</v>
      </c>
      <c r="O63" s="79">
        <f t="shared" si="39"/>
        <v>60.681071428571428</v>
      </c>
      <c r="P63" s="88">
        <f>IF(I63=TRUE,SUMIFS(base!D$3:D$100,base!C$3:C$100,base!C57),"")</f>
        <v>3221</v>
      </c>
      <c r="Q63" s="79">
        <f t="shared" si="27"/>
        <v>28.625071362568931</v>
      </c>
      <c r="R63" s="88">
        <f t="shared" si="28"/>
        <v>530.80803027538593</v>
      </c>
      <c r="S63" s="92">
        <f t="shared" si="33"/>
        <v>43325.528708690472</v>
      </c>
      <c r="T63" s="90">
        <f t="shared" si="4"/>
        <v>12</v>
      </c>
      <c r="U63" s="91" t="s">
        <v>46</v>
      </c>
      <c r="V63" s="90">
        <f t="shared" si="29"/>
        <v>41</v>
      </c>
      <c r="W63" s="7"/>
      <c r="X63" s="7"/>
      <c r="Y63" s="8">
        <v>3</v>
      </c>
      <c r="Z63" s="93" t="str">
        <f t="shared" si="34"/>
        <v/>
      </c>
      <c r="AA63" s="94">
        <f t="shared" si="35"/>
        <v>0</v>
      </c>
      <c r="AB63" s="95">
        <f t="shared" si="36"/>
        <v>43325.528708690472</v>
      </c>
      <c r="AC63" s="78">
        <f t="shared" si="30"/>
        <v>12</v>
      </c>
      <c r="AD63" s="78" t="s">
        <v>46</v>
      </c>
      <c r="AE63" s="78">
        <f t="shared" si="31"/>
        <v>41</v>
      </c>
      <c r="AF63" s="10"/>
      <c r="AG63" s="10"/>
      <c r="AH63" s="10"/>
    </row>
    <row r="64" spans="1:34" ht="15.75" x14ac:dyDescent="0.25">
      <c r="A64" s="84" t="s">
        <v>187</v>
      </c>
      <c r="B64" s="78">
        <f>VLOOKUP(A64,base!A$3:B$100,2)</f>
        <v>8.1</v>
      </c>
      <c r="C64" s="79">
        <f t="shared" si="24"/>
        <v>0.28017857142857139</v>
      </c>
      <c r="D64" s="80">
        <f>VLOOKUP(A64,base!A$3:J$100,9)+Y64</f>
        <v>2.8017857142857139</v>
      </c>
      <c r="E64" s="83">
        <f>E63+base!B58</f>
        <v>3387.9999999999991</v>
      </c>
      <c r="F64" s="82" t="str">
        <f>base!F58</f>
        <v>7,7Km road</v>
      </c>
      <c r="G64" s="67" t="s">
        <v>109</v>
      </c>
      <c r="H64" s="10"/>
      <c r="I64" s="71" t="b">
        <v>0</v>
      </c>
      <c r="J64" s="71">
        <f t="shared" si="25"/>
        <v>26</v>
      </c>
      <c r="K64" s="85" t="str">
        <f t="shared" si="37"/>
        <v/>
      </c>
      <c r="L64" s="86" t="str">
        <f t="shared" si="38"/>
        <v/>
      </c>
      <c r="M64" s="87" t="e">
        <f t="shared" si="32"/>
        <v>#VALUE!</v>
      </c>
      <c r="N64" s="87" t="e">
        <f t="shared" si="26"/>
        <v>#VALUE!</v>
      </c>
      <c r="O64" s="79">
        <f t="shared" si="39"/>
        <v>0</v>
      </c>
      <c r="P64" s="88" t="str">
        <f>IF(I64=TRUE,SUMIFS(base!D$3:D$100,base!C$3:C$100,base!C58),"")</f>
        <v/>
      </c>
      <c r="Q64" s="79" t="str">
        <f t="shared" si="27"/>
        <v/>
      </c>
      <c r="R64" s="88" t="str">
        <f t="shared" si="28"/>
        <v/>
      </c>
      <c r="S64" s="92">
        <f t="shared" si="33"/>
        <v>43325.528708690472</v>
      </c>
      <c r="T64" s="90">
        <f t="shared" si="4"/>
        <v>12</v>
      </c>
      <c r="U64" s="91" t="s">
        <v>46</v>
      </c>
      <c r="V64" s="90">
        <f t="shared" si="29"/>
        <v>41</v>
      </c>
      <c r="W64" s="7"/>
      <c r="X64" s="7"/>
      <c r="Y64" s="8"/>
      <c r="Z64" s="93" t="str">
        <f t="shared" si="34"/>
        <v/>
      </c>
      <c r="AA64" s="94">
        <f t="shared" si="35"/>
        <v>0</v>
      </c>
      <c r="AB64" s="95">
        <f t="shared" si="36"/>
        <v>43325.528708690472</v>
      </c>
      <c r="AC64" s="78">
        <f t="shared" si="30"/>
        <v>12</v>
      </c>
      <c r="AD64" s="78" t="s">
        <v>46</v>
      </c>
      <c r="AE64" s="78">
        <f t="shared" si="31"/>
        <v>41</v>
      </c>
      <c r="AF64" s="10"/>
      <c r="AG64" s="10"/>
      <c r="AH64" s="10"/>
    </row>
    <row r="65" spans="1:34" ht="15.75" x14ac:dyDescent="0.25">
      <c r="A65" s="84" t="s">
        <v>192</v>
      </c>
      <c r="B65" s="78">
        <f>VLOOKUP(A65,base!A$3:B$100,2)</f>
        <v>8.1</v>
      </c>
      <c r="C65" s="79">
        <f t="shared" si="24"/>
        <v>0.36892857142857138</v>
      </c>
      <c r="D65" s="80">
        <f>VLOOKUP(A65,base!A$3:J$100,9)+Y65</f>
        <v>3.6892857142857141</v>
      </c>
      <c r="E65" s="83">
        <f>E64+base!B59</f>
        <v>3396.099999999999</v>
      </c>
      <c r="F65" s="82" t="str">
        <f>base!F59</f>
        <v>0,3Km trail</v>
      </c>
      <c r="G65" s="67" t="s">
        <v>109</v>
      </c>
      <c r="H65" s="10"/>
      <c r="I65" s="71" t="b">
        <v>0</v>
      </c>
      <c r="J65" s="71">
        <f t="shared" si="25"/>
        <v>26</v>
      </c>
      <c r="K65" s="85" t="str">
        <f t="shared" si="37"/>
        <v/>
      </c>
      <c r="L65" s="86" t="str">
        <f t="shared" si="38"/>
        <v/>
      </c>
      <c r="M65" s="87" t="e">
        <f t="shared" si="32"/>
        <v>#VALUE!</v>
      </c>
      <c r="N65" s="87" t="e">
        <f t="shared" si="26"/>
        <v>#VALUE!</v>
      </c>
      <c r="O65" s="79">
        <f t="shared" si="39"/>
        <v>0</v>
      </c>
      <c r="P65" s="88" t="str">
        <f>IF(I65=TRUE,SUMIFS(base!D$3:D$100,base!C$3:C$100,base!C59),"")</f>
        <v/>
      </c>
      <c r="Q65" s="79" t="str">
        <f t="shared" si="27"/>
        <v/>
      </c>
      <c r="R65" s="88" t="str">
        <f t="shared" si="28"/>
        <v/>
      </c>
      <c r="S65" s="92">
        <f t="shared" si="33"/>
        <v>43325.528708690472</v>
      </c>
      <c r="T65" s="90">
        <f t="shared" si="4"/>
        <v>12</v>
      </c>
      <c r="U65" s="91" t="s">
        <v>46</v>
      </c>
      <c r="V65" s="90">
        <f t="shared" si="29"/>
        <v>41</v>
      </c>
      <c r="W65" s="7"/>
      <c r="X65" s="7"/>
      <c r="Y65" s="8"/>
      <c r="Z65" s="93" t="str">
        <f t="shared" si="34"/>
        <v/>
      </c>
      <c r="AA65" s="94">
        <f t="shared" si="35"/>
        <v>0</v>
      </c>
      <c r="AB65" s="95">
        <f t="shared" si="36"/>
        <v>43325.528708690472</v>
      </c>
      <c r="AC65" s="78">
        <f t="shared" si="30"/>
        <v>12</v>
      </c>
      <c r="AD65" s="78" t="s">
        <v>46</v>
      </c>
      <c r="AE65" s="78">
        <f t="shared" si="31"/>
        <v>41</v>
      </c>
      <c r="AF65" s="10"/>
      <c r="AG65" s="10"/>
      <c r="AH65" s="10"/>
    </row>
    <row r="66" spans="1:34" ht="15.75" x14ac:dyDescent="0.25">
      <c r="A66" s="84" t="s">
        <v>193</v>
      </c>
      <c r="B66" s="78">
        <f>VLOOKUP(A66,base!A$3:B$100,2)</f>
        <v>77</v>
      </c>
      <c r="C66" s="79">
        <f t="shared" si="24"/>
        <v>2.5155000000000003</v>
      </c>
      <c r="D66" s="80">
        <f>VLOOKUP(A66,base!A$3:J$100,9)+Y66</f>
        <v>25.155000000000001</v>
      </c>
      <c r="E66" s="83">
        <f>E65+base!B60</f>
        <v>3473.099999999999</v>
      </c>
      <c r="F66" s="82" t="str">
        <f>base!F60</f>
        <v>0Km</v>
      </c>
      <c r="G66" s="67" t="s">
        <v>109</v>
      </c>
      <c r="H66" s="10"/>
      <c r="I66" s="71" t="b">
        <v>1</v>
      </c>
      <c r="J66" s="71">
        <f t="shared" si="25"/>
        <v>26</v>
      </c>
      <c r="K66" s="85">
        <f t="shared" si="37"/>
        <v>93.2</v>
      </c>
      <c r="L66" s="86">
        <f t="shared" si="38"/>
        <v>3.1646071428571432</v>
      </c>
      <c r="M66" s="87">
        <f t="shared" si="32"/>
        <v>6.8586309523809508E-2</v>
      </c>
      <c r="N66" s="87">
        <f t="shared" si="26"/>
        <v>3.0685863095238095</v>
      </c>
      <c r="O66" s="79">
        <f t="shared" si="39"/>
        <v>31.646071428571428</v>
      </c>
      <c r="P66" s="88">
        <f>IF(I66=TRUE,SUMIFS(base!D$3:D$100,base!C$3:C$100,base!C60),"")</f>
        <v>2007</v>
      </c>
      <c r="Q66" s="79">
        <f t="shared" si="27"/>
        <v>29.45073299551964</v>
      </c>
      <c r="R66" s="88">
        <f t="shared" si="28"/>
        <v>634.20194336918371</v>
      </c>
      <c r="S66" s="92">
        <f t="shared" si="33"/>
        <v>43328.597294999992</v>
      </c>
      <c r="T66" s="90">
        <f t="shared" si="4"/>
        <v>14</v>
      </c>
      <c r="U66" s="91" t="s">
        <v>46</v>
      </c>
      <c r="V66" s="90">
        <f t="shared" si="29"/>
        <v>20</v>
      </c>
      <c r="W66" s="7">
        <v>1</v>
      </c>
      <c r="X66" s="7">
        <v>1</v>
      </c>
      <c r="Y66" s="8"/>
      <c r="Z66" s="93" t="str">
        <f t="shared" si="34"/>
        <v/>
      </c>
      <c r="AA66" s="94">
        <f t="shared" si="35"/>
        <v>1.8353928571428568</v>
      </c>
      <c r="AB66" s="95">
        <f t="shared" si="36"/>
        <v>43329.291669999999</v>
      </c>
      <c r="AC66" s="78">
        <f t="shared" si="30"/>
        <v>7</v>
      </c>
      <c r="AD66" s="78" t="s">
        <v>46</v>
      </c>
      <c r="AE66" s="78">
        <f t="shared" si="31"/>
        <v>0</v>
      </c>
      <c r="AF66" s="10"/>
      <c r="AG66" s="10"/>
      <c r="AH66" s="10"/>
    </row>
    <row r="67" spans="1:34" ht="15.75" x14ac:dyDescent="0.25">
      <c r="A67" s="84" t="s">
        <v>194</v>
      </c>
      <c r="B67" s="78">
        <f>VLOOKUP(A67,base!A$3:B$100,2)</f>
        <v>54.7</v>
      </c>
      <c r="C67" s="79">
        <f t="shared" si="24"/>
        <v>1.9881071428571431</v>
      </c>
      <c r="D67" s="80">
        <f>VLOOKUP(A67,base!A$3:J$100,9)+Y67</f>
        <v>19.881071428571431</v>
      </c>
      <c r="E67" s="83">
        <f>E66+base!B61</f>
        <v>3527.7999999999988</v>
      </c>
      <c r="F67" s="82">
        <f>base!F61</f>
        <v>0</v>
      </c>
      <c r="G67" s="67" t="s">
        <v>109</v>
      </c>
      <c r="H67" s="10"/>
      <c r="I67" s="71" t="b">
        <v>0</v>
      </c>
      <c r="J67" s="71">
        <f t="shared" si="25"/>
        <v>27</v>
      </c>
      <c r="K67" s="85" t="str">
        <f t="shared" si="37"/>
        <v/>
      </c>
      <c r="L67" s="86" t="str">
        <f t="shared" si="38"/>
        <v/>
      </c>
      <c r="M67" s="87" t="e">
        <f t="shared" si="32"/>
        <v>#VALUE!</v>
      </c>
      <c r="N67" s="87" t="e">
        <f t="shared" si="26"/>
        <v>#VALUE!</v>
      </c>
      <c r="O67" s="79">
        <f t="shared" si="39"/>
        <v>0</v>
      </c>
      <c r="P67" s="88" t="str">
        <f>IF(I67=TRUE,SUMIFS(base!D$3:D$100,base!C$3:C$100,base!C61),"")</f>
        <v/>
      </c>
      <c r="Q67" s="79" t="str">
        <f t="shared" si="27"/>
        <v/>
      </c>
      <c r="R67" s="88" t="str">
        <f t="shared" si="28"/>
        <v/>
      </c>
      <c r="S67" s="92">
        <f t="shared" si="33"/>
        <v>43329.291669999999</v>
      </c>
      <c r="T67" s="90">
        <f t="shared" si="4"/>
        <v>7</v>
      </c>
      <c r="U67" s="91" t="s">
        <v>46</v>
      </c>
      <c r="V67" s="90">
        <f t="shared" si="29"/>
        <v>0</v>
      </c>
      <c r="W67" s="7"/>
      <c r="X67" s="7"/>
      <c r="Y67" s="8"/>
      <c r="Z67" s="93" t="str">
        <f t="shared" si="34"/>
        <v/>
      </c>
      <c r="AA67" s="94">
        <f t="shared" si="35"/>
        <v>0</v>
      </c>
      <c r="AB67" s="95">
        <f t="shared" si="36"/>
        <v>43329.291669999999</v>
      </c>
      <c r="AC67" s="78">
        <f t="shared" si="30"/>
        <v>7</v>
      </c>
      <c r="AD67" s="78" t="s">
        <v>46</v>
      </c>
      <c r="AE67" s="78">
        <f t="shared" si="31"/>
        <v>0</v>
      </c>
      <c r="AF67" s="10"/>
      <c r="AG67" s="10"/>
      <c r="AH67" s="10"/>
    </row>
    <row r="68" spans="1:34" ht="15.75" x14ac:dyDescent="0.25">
      <c r="A68" s="84" t="s">
        <v>196</v>
      </c>
      <c r="B68" s="78">
        <f>VLOOKUP(A68,base!A$3:B$100,2)</f>
        <v>78.599999999999994</v>
      </c>
      <c r="C68" s="79">
        <f t="shared" si="24"/>
        <v>2.7632142857142856</v>
      </c>
      <c r="D68" s="80">
        <f>VLOOKUP(A68,base!A$3:J$100,9)+Y68</f>
        <v>27.632142857142856</v>
      </c>
      <c r="E68" s="83">
        <f>E67+base!B62</f>
        <v>3606.3999999999987</v>
      </c>
      <c r="F68" s="82" t="str">
        <f>base!F62</f>
        <v>22,2Km road</v>
      </c>
      <c r="G68" s="67" t="s">
        <v>109</v>
      </c>
      <c r="H68" s="10"/>
      <c r="I68" s="71" t="b">
        <v>1</v>
      </c>
      <c r="J68" s="71">
        <f t="shared" si="25"/>
        <v>27</v>
      </c>
      <c r="K68" s="85">
        <f t="shared" si="37"/>
        <v>133.30000000000001</v>
      </c>
      <c r="L68" s="86">
        <f t="shared" si="38"/>
        <v>4.7513214285714289</v>
      </c>
      <c r="M68" s="87">
        <f t="shared" si="32"/>
        <v>0.31305059523809514</v>
      </c>
      <c r="N68" s="87">
        <f t="shared" si="26"/>
        <v>4.3130505952380949</v>
      </c>
      <c r="O68" s="79">
        <f t="shared" si="39"/>
        <v>47.513214285714284</v>
      </c>
      <c r="P68" s="88">
        <f>IF(I68=TRUE,SUMIFS(base!D$3:D$100,base!C$3:C$100,base!C62),"")</f>
        <v>3771</v>
      </c>
      <c r="Q68" s="79">
        <f t="shared" si="27"/>
        <v>28.055353022091598</v>
      </c>
      <c r="R68" s="88">
        <f t="shared" si="28"/>
        <v>793.67394033238872</v>
      </c>
      <c r="S68" s="92">
        <f t="shared" si="33"/>
        <v>43333.604720595235</v>
      </c>
      <c r="T68" s="90">
        <f t="shared" si="4"/>
        <v>14</v>
      </c>
      <c r="U68" s="91" t="s">
        <v>46</v>
      </c>
      <c r="V68" s="90">
        <f t="shared" si="29"/>
        <v>30</v>
      </c>
      <c r="W68" s="7">
        <v>1</v>
      </c>
      <c r="X68" s="7"/>
      <c r="Y68" s="8"/>
      <c r="Z68" s="93" t="str">
        <f t="shared" si="34"/>
        <v/>
      </c>
      <c r="AA68" s="94">
        <f t="shared" si="35"/>
        <v>0.24867857142857108</v>
      </c>
      <c r="AB68" s="95">
        <f t="shared" si="36"/>
        <v>43334.291669999999</v>
      </c>
      <c r="AC68" s="78">
        <f t="shared" si="30"/>
        <v>7</v>
      </c>
      <c r="AD68" s="78" t="s">
        <v>46</v>
      </c>
      <c r="AE68" s="78">
        <f t="shared" si="31"/>
        <v>0</v>
      </c>
      <c r="AF68" s="10"/>
      <c r="AG68" s="10"/>
      <c r="AH68" s="10"/>
    </row>
    <row r="69" spans="1:34" ht="15.75" x14ac:dyDescent="0.25">
      <c r="A69" s="84" t="s">
        <v>199</v>
      </c>
      <c r="B69" s="78">
        <f>VLOOKUP(A69,base!A$3:B$100,2)</f>
        <v>104.5</v>
      </c>
      <c r="C69" s="79">
        <f t="shared" si="24"/>
        <v>3.6297142857142859</v>
      </c>
      <c r="D69" s="80">
        <f>VLOOKUP(A69,base!A$3:J$100,9)+Y69</f>
        <v>36.297142857142859</v>
      </c>
      <c r="E69" s="83">
        <f>E68+base!B63</f>
        <v>3710.8999999999987</v>
      </c>
      <c r="F69" s="82" t="str">
        <f>base!F63</f>
        <v>0,8Km road</v>
      </c>
      <c r="G69" s="67" t="s">
        <v>109</v>
      </c>
      <c r="H69" s="10"/>
      <c r="I69" s="71" t="b">
        <v>1</v>
      </c>
      <c r="J69" s="71">
        <f t="shared" si="25"/>
        <v>28</v>
      </c>
      <c r="K69" s="85">
        <f t="shared" si="37"/>
        <v>104.5</v>
      </c>
      <c r="L69" s="86">
        <f t="shared" si="38"/>
        <v>3.6297142857142859</v>
      </c>
      <c r="M69" s="87">
        <f t="shared" si="32"/>
        <v>0.26238095238095244</v>
      </c>
      <c r="N69" s="87">
        <f t="shared" si="26"/>
        <v>3.2623809523809526</v>
      </c>
      <c r="O69" s="79">
        <f t="shared" si="39"/>
        <v>36.297142857142859</v>
      </c>
      <c r="P69" s="88">
        <f>IF(I69=TRUE,SUMIFS(base!D$3:D$100,base!C$3:C$100,base!C63),"")</f>
        <v>2576</v>
      </c>
      <c r="Q69" s="79">
        <f t="shared" si="27"/>
        <v>28.790144836272038</v>
      </c>
      <c r="R69" s="88">
        <f t="shared" si="28"/>
        <v>709.69773299748113</v>
      </c>
      <c r="S69" s="92">
        <f t="shared" si="33"/>
        <v>43337.554050952378</v>
      </c>
      <c r="T69" s="90">
        <f t="shared" si="4"/>
        <v>13</v>
      </c>
      <c r="U69" s="91" t="s">
        <v>46</v>
      </c>
      <c r="V69" s="90">
        <f t="shared" si="29"/>
        <v>17</v>
      </c>
      <c r="W69" s="7">
        <v>1</v>
      </c>
      <c r="X69" s="7"/>
      <c r="Y69" s="8"/>
      <c r="Z69" s="93" t="str">
        <f t="shared" si="34"/>
        <v/>
      </c>
      <c r="AA69" s="94">
        <f t="shared" si="35"/>
        <v>0.37028571428571411</v>
      </c>
      <c r="AB69" s="95">
        <f t="shared" si="36"/>
        <v>43338.291669999999</v>
      </c>
      <c r="AC69" s="78">
        <f t="shared" si="30"/>
        <v>7</v>
      </c>
      <c r="AD69" s="78" t="s">
        <v>46</v>
      </c>
      <c r="AE69" s="78">
        <f t="shared" si="31"/>
        <v>0</v>
      </c>
      <c r="AF69" s="10"/>
      <c r="AG69" s="10"/>
      <c r="AH69" s="10"/>
    </row>
    <row r="70" spans="1:34" ht="15.75" x14ac:dyDescent="0.25">
      <c r="A70" s="84" t="s">
        <v>201</v>
      </c>
      <c r="B70" s="78">
        <f>VLOOKUP(A70,base!A$3:B$100,2)</f>
        <v>47.5</v>
      </c>
      <c r="C70" s="79">
        <f t="shared" si="24"/>
        <v>1.596642857142857</v>
      </c>
      <c r="D70" s="80">
        <f>VLOOKUP(A70,base!A$3:J$100,9)+Y70</f>
        <v>15.966428571428571</v>
      </c>
      <c r="E70" s="83">
        <f>E69+base!B64</f>
        <v>3758.3999999999987</v>
      </c>
      <c r="F70" s="82">
        <f>base!F64</f>
        <v>0</v>
      </c>
      <c r="G70" s="67" t="s">
        <v>109</v>
      </c>
      <c r="H70" s="10"/>
      <c r="I70" s="71" t="b">
        <v>0</v>
      </c>
      <c r="J70" s="71">
        <f t="shared" si="25"/>
        <v>29</v>
      </c>
      <c r="K70" s="85" t="str">
        <f t="shared" si="37"/>
        <v/>
      </c>
      <c r="L70" s="86" t="str">
        <f t="shared" si="38"/>
        <v/>
      </c>
      <c r="M70" s="87" t="e">
        <f t="shared" si="32"/>
        <v>#VALUE!</v>
      </c>
      <c r="N70" s="87" t="e">
        <f t="shared" si="26"/>
        <v>#VALUE!</v>
      </c>
      <c r="O70" s="79">
        <f t="shared" si="39"/>
        <v>0</v>
      </c>
      <c r="P70" s="88" t="str">
        <f>IF(I70=TRUE,SUMIFS(base!D$3:D$100,base!C$3:C$100,base!C64),"")</f>
        <v/>
      </c>
      <c r="Q70" s="79" t="str">
        <f t="shared" si="27"/>
        <v/>
      </c>
      <c r="R70" s="88" t="str">
        <f t="shared" si="28"/>
        <v/>
      </c>
      <c r="S70" s="92">
        <f t="shared" si="33"/>
        <v>43338.291669999999</v>
      </c>
      <c r="T70" s="90">
        <f t="shared" si="4"/>
        <v>7</v>
      </c>
      <c r="U70" s="91" t="s">
        <v>46</v>
      </c>
      <c r="V70" s="90">
        <f t="shared" si="29"/>
        <v>0</v>
      </c>
      <c r="W70" s="7"/>
      <c r="X70" s="7"/>
      <c r="Y70" s="8"/>
      <c r="Z70" s="93" t="str">
        <f t="shared" si="34"/>
        <v/>
      </c>
      <c r="AA70" s="94">
        <f t="shared" si="35"/>
        <v>0</v>
      </c>
      <c r="AB70" s="95">
        <f t="shared" si="36"/>
        <v>43338.291669999999</v>
      </c>
      <c r="AC70" s="78">
        <f t="shared" si="30"/>
        <v>7</v>
      </c>
      <c r="AD70" s="78" t="s">
        <v>46</v>
      </c>
      <c r="AE70" s="78">
        <f t="shared" si="31"/>
        <v>0</v>
      </c>
      <c r="AF70" s="10"/>
      <c r="AG70" s="10"/>
      <c r="AH70" s="10"/>
    </row>
    <row r="71" spans="1:34" ht="15.75" x14ac:dyDescent="0.25">
      <c r="A71" s="84" t="s">
        <v>203</v>
      </c>
      <c r="B71" s="78">
        <f>VLOOKUP(A71,base!A$3:B$100,2)</f>
        <v>111.9</v>
      </c>
      <c r="C71" s="79">
        <f t="shared" si="24"/>
        <v>3.6573928571428573</v>
      </c>
      <c r="D71" s="80">
        <f>VLOOKUP(A71,base!A$3:J$100,9)+Y71</f>
        <v>36.573928571428574</v>
      </c>
      <c r="E71" s="83">
        <f>E70+base!B65</f>
        <v>3870.2999999999988</v>
      </c>
      <c r="F71" s="82" t="str">
        <f>base!F65</f>
        <v>0,5Km road</v>
      </c>
      <c r="G71" s="67" t="s">
        <v>109</v>
      </c>
      <c r="H71" s="10"/>
      <c r="I71" s="71" t="b">
        <v>1</v>
      </c>
      <c r="J71" s="71">
        <f t="shared" si="25"/>
        <v>29</v>
      </c>
      <c r="K71" s="85">
        <f t="shared" si="37"/>
        <v>159.4</v>
      </c>
      <c r="L71" s="86">
        <f t="shared" si="38"/>
        <v>5.2540357142857141</v>
      </c>
      <c r="M71" s="87">
        <f t="shared" si="32"/>
        <v>0.10584821428571445</v>
      </c>
      <c r="N71" s="87">
        <f t="shared" si="26"/>
        <v>5.1058482142857144</v>
      </c>
      <c r="O71" s="79">
        <f t="shared" si="39"/>
        <v>52.540357142857147</v>
      </c>
      <c r="P71" s="88">
        <f>IF(I71=TRUE,SUMIFS(base!D$3:D$100,base!C$3:C$100,base!C65),"")</f>
        <v>2799</v>
      </c>
      <c r="Q71" s="79">
        <f t="shared" si="27"/>
        <v>30.338583265924836</v>
      </c>
      <c r="R71" s="88">
        <f t="shared" si="28"/>
        <v>532.73334103716195</v>
      </c>
      <c r="S71" s="92">
        <f t="shared" si="33"/>
        <v>43343.397518214282</v>
      </c>
      <c r="T71" s="90">
        <f t="shared" si="4"/>
        <v>9</v>
      </c>
      <c r="U71" s="91" t="s">
        <v>46</v>
      </c>
      <c r="V71" s="90">
        <f t="shared" si="29"/>
        <v>32</v>
      </c>
      <c r="W71" s="7"/>
      <c r="X71" s="7"/>
      <c r="Y71" s="8"/>
      <c r="Z71" s="93" t="str">
        <f t="shared" si="34"/>
        <v>&lt;= !</v>
      </c>
      <c r="AA71" s="94">
        <f t="shared" si="35"/>
        <v>0</v>
      </c>
      <c r="AB71" s="95">
        <f t="shared" si="36"/>
        <v>43343.397518214282</v>
      </c>
      <c r="AC71" s="78">
        <f t="shared" si="30"/>
        <v>9</v>
      </c>
      <c r="AD71" s="78" t="s">
        <v>46</v>
      </c>
      <c r="AE71" s="78">
        <f t="shared" si="31"/>
        <v>32</v>
      </c>
      <c r="AF71" s="10"/>
      <c r="AG71" s="10"/>
      <c r="AH71" s="10"/>
    </row>
    <row r="72" spans="1:34" ht="15.75" x14ac:dyDescent="0.25">
      <c r="A72" s="84" t="s">
        <v>206</v>
      </c>
      <c r="B72" s="78">
        <f>VLOOKUP(A72,base!A$3:B$100,2)</f>
        <v>119.9</v>
      </c>
      <c r="C72" s="79">
        <f t="shared" si="24"/>
        <v>4.4507142857142856</v>
      </c>
      <c r="D72" s="80">
        <f>VLOOKUP(A72,base!A$3:J$100,9)+Y72</f>
        <v>44.50714285714286</v>
      </c>
      <c r="E72" s="83">
        <f>E71+base!B66</f>
        <v>3990.1999999999989</v>
      </c>
      <c r="F72" s="82" t="str">
        <f>base!F66</f>
        <v>26,1Km road</v>
      </c>
      <c r="G72" s="67" t="s">
        <v>109</v>
      </c>
      <c r="H72" s="10"/>
      <c r="I72" s="71" t="b">
        <v>1</v>
      </c>
      <c r="J72" s="71">
        <f t="shared" si="25"/>
        <v>30</v>
      </c>
      <c r="K72" s="85">
        <f t="shared" si="37"/>
        <v>119.9</v>
      </c>
      <c r="L72" s="86">
        <f t="shared" si="38"/>
        <v>4.4507142857142856</v>
      </c>
      <c r="M72" s="87">
        <f t="shared" ref="M72:M76" si="40">(O72-(INT(L72)*B$3))/24</f>
        <v>0.18779761904761916</v>
      </c>
      <c r="N72" s="87">
        <f t="shared" si="26"/>
        <v>4.1877976190476192</v>
      </c>
      <c r="O72" s="79">
        <f t="shared" si="39"/>
        <v>44.50714285714286</v>
      </c>
      <c r="P72" s="88">
        <f>IF(I72=TRUE,SUMIFS(base!D$3:D$100,base!C$3:C$100,base!C66),"")</f>
        <v>4100</v>
      </c>
      <c r="Q72" s="79">
        <f t="shared" si="27"/>
        <v>26.939496068046864</v>
      </c>
      <c r="R72" s="88">
        <f t="shared" si="28"/>
        <v>921.20044936607292</v>
      </c>
      <c r="S72" s="92">
        <f t="shared" si="33"/>
        <v>43347.585315833327</v>
      </c>
      <c r="T72" s="90">
        <f t="shared" si="4"/>
        <v>14</v>
      </c>
      <c r="U72" s="91" t="s">
        <v>46</v>
      </c>
      <c r="V72" s="90">
        <f t="shared" si="29"/>
        <v>2</v>
      </c>
      <c r="W72" s="7">
        <v>1</v>
      </c>
      <c r="X72" s="7">
        <v>1</v>
      </c>
      <c r="Y72" s="8"/>
      <c r="Z72" s="93" t="str">
        <f t="shared" si="34"/>
        <v/>
      </c>
      <c r="AA72" s="94">
        <f t="shared" si="35"/>
        <v>1.5492857142857144</v>
      </c>
      <c r="AB72" s="95">
        <f t="shared" si="36"/>
        <v>43348.291669999999</v>
      </c>
      <c r="AC72" s="78">
        <f t="shared" si="30"/>
        <v>7</v>
      </c>
      <c r="AD72" s="78" t="s">
        <v>46</v>
      </c>
      <c r="AE72" s="78">
        <f t="shared" si="31"/>
        <v>0</v>
      </c>
      <c r="AF72" s="10"/>
      <c r="AG72" s="10"/>
      <c r="AH72" s="10"/>
    </row>
    <row r="73" spans="1:34" ht="15.75" x14ac:dyDescent="0.25">
      <c r="A73" s="84" t="s">
        <v>209</v>
      </c>
      <c r="B73" s="78">
        <f>VLOOKUP(A73,base!A$3:B$100,2)</f>
        <v>157.5</v>
      </c>
      <c r="C73" s="79">
        <f t="shared" si="24"/>
        <v>5.7847499999999998</v>
      </c>
      <c r="D73" s="80">
        <f>VLOOKUP(A73,base!A$3:J$100,9)+Y73</f>
        <v>57.847499999999997</v>
      </c>
      <c r="E73" s="83">
        <f>E72+base!B67</f>
        <v>4147.6999999999989</v>
      </c>
      <c r="F73" s="82" t="str">
        <f>base!F67</f>
        <v>19Km (bus)</v>
      </c>
      <c r="G73" s="67" t="s">
        <v>109</v>
      </c>
      <c r="H73" s="10"/>
      <c r="I73" s="71" t="b">
        <v>1</v>
      </c>
      <c r="J73" s="71">
        <f t="shared" si="25"/>
        <v>31</v>
      </c>
      <c r="K73" s="85">
        <f t="shared" si="37"/>
        <v>157.5</v>
      </c>
      <c r="L73" s="86">
        <f t="shared" si="38"/>
        <v>5.7847499999999998</v>
      </c>
      <c r="M73" s="87">
        <f t="shared" si="40"/>
        <v>0.32697916666666654</v>
      </c>
      <c r="N73" s="87">
        <f t="shared" si="26"/>
        <v>5.3269791666666668</v>
      </c>
      <c r="O73" s="79">
        <f t="shared" si="39"/>
        <v>57.847499999999997</v>
      </c>
      <c r="P73" s="88">
        <f>IF(I73=TRUE,SUMIFS(base!D$3:D$100,base!C$3:C$100,base!C67),"")</f>
        <v>5139</v>
      </c>
      <c r="Q73" s="79">
        <f t="shared" si="27"/>
        <v>27.226760015558149</v>
      </c>
      <c r="R73" s="88">
        <f t="shared" si="28"/>
        <v>888.37028393621165</v>
      </c>
      <c r="S73" s="92">
        <f t="shared" si="33"/>
        <v>43353.618649166667</v>
      </c>
      <c r="T73" s="90">
        <f t="shared" ref="T73:T76" si="41">HOUR(S73)</f>
        <v>14</v>
      </c>
      <c r="U73" s="91" t="s">
        <v>46</v>
      </c>
      <c r="V73" s="90">
        <f t="shared" si="29"/>
        <v>50</v>
      </c>
      <c r="W73" s="7">
        <v>1</v>
      </c>
      <c r="X73" s="7"/>
      <c r="Y73" s="8"/>
      <c r="Z73" s="93" t="str">
        <f t="shared" ref="Z73:Z104" si="42">IF(I73=TRUE,IF(W73+X73+Y73=0,"&lt;= !",""),"")</f>
        <v/>
      </c>
      <c r="AA73" s="94">
        <f t="shared" si="35"/>
        <v>0.21525000000000016</v>
      </c>
      <c r="AB73" s="95">
        <f t="shared" si="36"/>
        <v>43354.291669999999</v>
      </c>
      <c r="AC73" s="78">
        <f t="shared" si="30"/>
        <v>7</v>
      </c>
      <c r="AD73" s="78" t="s">
        <v>46</v>
      </c>
      <c r="AE73" s="78">
        <f t="shared" si="31"/>
        <v>0</v>
      </c>
      <c r="AF73" s="10"/>
      <c r="AG73" s="10"/>
      <c r="AH73" s="10"/>
    </row>
    <row r="74" spans="1:34" ht="15.75" x14ac:dyDescent="0.25">
      <c r="A74" s="84" t="s">
        <v>212</v>
      </c>
      <c r="B74" s="78">
        <f>VLOOKUP(A74,base!A$3:B$100,2)</f>
        <v>31.7</v>
      </c>
      <c r="C74" s="79">
        <f t="shared" si="24"/>
        <v>1.2029642857142857</v>
      </c>
      <c r="D74" s="80">
        <f>VLOOKUP(A74,base!A$3:J$100,9)+Y74</f>
        <v>12.029642857142857</v>
      </c>
      <c r="E74" s="83">
        <f>E73+base!B68</f>
        <v>4179.3999999999987</v>
      </c>
      <c r="F74" s="82">
        <f>base!F68</f>
        <v>0</v>
      </c>
      <c r="G74" s="67" t="s">
        <v>109</v>
      </c>
      <c r="H74" s="10"/>
      <c r="I74" s="71" t="b">
        <v>0</v>
      </c>
      <c r="J74" s="71">
        <f t="shared" si="25"/>
        <v>32</v>
      </c>
      <c r="K74" s="85" t="str">
        <f t="shared" ref="K74:K76" si="43">IF(I74=TRUE,SUMIFS(B$9:B$100,J$9:J$100,J74),"")</f>
        <v/>
      </c>
      <c r="L74" s="86" t="str">
        <f t="shared" si="38"/>
        <v/>
      </c>
      <c r="M74" s="87" t="e">
        <f t="shared" si="40"/>
        <v>#VALUE!</v>
      </c>
      <c r="N74" s="87" t="e">
        <f t="shared" si="26"/>
        <v>#VALUE!</v>
      </c>
      <c r="O74" s="79">
        <f t="shared" si="39"/>
        <v>0</v>
      </c>
      <c r="P74" s="88" t="str">
        <f>IF(I74=TRUE,SUMIFS(base!D$3:D$100,base!C$3:C$100,base!C68),"")</f>
        <v/>
      </c>
      <c r="Q74" s="79" t="str">
        <f t="shared" si="27"/>
        <v/>
      </c>
      <c r="R74" s="88" t="str">
        <f t="shared" si="28"/>
        <v/>
      </c>
      <c r="S74" s="92">
        <f t="shared" si="33"/>
        <v>43354.291669999999</v>
      </c>
      <c r="T74" s="90">
        <f t="shared" si="41"/>
        <v>7</v>
      </c>
      <c r="U74" s="91" t="s">
        <v>46</v>
      </c>
      <c r="V74" s="90">
        <f t="shared" si="29"/>
        <v>0</v>
      </c>
      <c r="W74" s="7"/>
      <c r="X74" s="7"/>
      <c r="Y74" s="8"/>
      <c r="Z74" s="93" t="str">
        <f t="shared" si="42"/>
        <v/>
      </c>
      <c r="AA74" s="94">
        <f t="shared" si="35"/>
        <v>0</v>
      </c>
      <c r="AB74" s="95">
        <f t="shared" si="36"/>
        <v>43354.291669999999</v>
      </c>
      <c r="AC74" s="78">
        <f t="shared" si="30"/>
        <v>7</v>
      </c>
      <c r="AD74" s="78" t="s">
        <v>46</v>
      </c>
      <c r="AE74" s="78">
        <f t="shared" si="31"/>
        <v>0</v>
      </c>
      <c r="AF74" s="10"/>
      <c r="AG74" s="10"/>
      <c r="AH74" s="10"/>
    </row>
    <row r="75" spans="1:34" ht="15.75" x14ac:dyDescent="0.25">
      <c r="A75" s="84" t="s">
        <v>214</v>
      </c>
      <c r="B75" s="78">
        <f>VLOOKUP(A75,base!A$3:B$100,2)</f>
        <v>49.1</v>
      </c>
      <c r="C75" s="79">
        <f t="shared" si="24"/>
        <v>1.7873571428571426</v>
      </c>
      <c r="D75" s="80">
        <f>VLOOKUP(A75,base!A$3:J$100,9)+Y75</f>
        <v>17.873571428571427</v>
      </c>
      <c r="E75" s="83">
        <f>E74+base!B69</f>
        <v>4228.4999999999991</v>
      </c>
      <c r="F75" s="82">
        <f>base!F69</f>
        <v>0</v>
      </c>
      <c r="G75" s="67" t="s">
        <v>109</v>
      </c>
      <c r="H75" s="10"/>
      <c r="I75" s="71" t="b">
        <v>0</v>
      </c>
      <c r="J75" s="71">
        <f t="shared" si="25"/>
        <v>32</v>
      </c>
      <c r="K75" s="85" t="str">
        <f t="shared" si="43"/>
        <v/>
      </c>
      <c r="L75" s="86" t="str">
        <f t="shared" si="38"/>
        <v/>
      </c>
      <c r="M75" s="87" t="e">
        <f t="shared" si="40"/>
        <v>#VALUE!</v>
      </c>
      <c r="N75" s="87" t="e">
        <f t="shared" si="26"/>
        <v>#VALUE!</v>
      </c>
      <c r="O75" s="79">
        <f t="shared" si="39"/>
        <v>0</v>
      </c>
      <c r="P75" s="88" t="str">
        <f>IF(I75=TRUE,SUMIFS(base!D$3:D$100,base!C$3:C$100,base!C69),"")</f>
        <v/>
      </c>
      <c r="Q75" s="79" t="str">
        <f t="shared" si="27"/>
        <v/>
      </c>
      <c r="R75" s="88" t="str">
        <f t="shared" si="28"/>
        <v/>
      </c>
      <c r="S75" s="92">
        <f t="shared" si="33"/>
        <v>43354.291669999999</v>
      </c>
      <c r="T75" s="90">
        <f t="shared" si="41"/>
        <v>7</v>
      </c>
      <c r="U75" s="91" t="s">
        <v>46</v>
      </c>
      <c r="V75" s="90">
        <f t="shared" si="29"/>
        <v>0</v>
      </c>
      <c r="W75" s="7"/>
      <c r="X75" s="7"/>
      <c r="Y75" s="8"/>
      <c r="Z75" s="93" t="str">
        <f t="shared" si="42"/>
        <v/>
      </c>
      <c r="AA75" s="94">
        <f t="shared" si="35"/>
        <v>0</v>
      </c>
      <c r="AB75" s="95">
        <f t="shared" si="36"/>
        <v>43354.291669999999</v>
      </c>
      <c r="AC75" s="78">
        <f t="shared" si="30"/>
        <v>7</v>
      </c>
      <c r="AD75" s="78" t="s">
        <v>46</v>
      </c>
      <c r="AE75" s="78">
        <f t="shared" si="31"/>
        <v>0</v>
      </c>
      <c r="AF75" s="10"/>
      <c r="AG75" s="10"/>
      <c r="AH75" s="10"/>
    </row>
    <row r="76" spans="1:34" ht="15.75" x14ac:dyDescent="0.25">
      <c r="A76" s="84" t="s">
        <v>216</v>
      </c>
      <c r="B76" s="78">
        <f>VLOOKUP(A76,base!A$3:B$100,2)</f>
        <v>63.1</v>
      </c>
      <c r="C76" s="79">
        <f t="shared" si="24"/>
        <v>2.1388571428571428</v>
      </c>
      <c r="D76" s="80">
        <f>VLOOKUP(A76,base!A$3:J$100,9)+Y76</f>
        <v>21.388571428571428</v>
      </c>
      <c r="E76" s="83">
        <f>E75+base!B70</f>
        <v>4291.5999999999995</v>
      </c>
      <c r="F76" s="82">
        <f>base!F70</f>
        <v>0</v>
      </c>
      <c r="G76" s="67" t="s">
        <v>109</v>
      </c>
      <c r="H76" s="10"/>
      <c r="I76" s="71" t="b">
        <v>1</v>
      </c>
      <c r="J76" s="71">
        <f t="shared" si="25"/>
        <v>32</v>
      </c>
      <c r="K76" s="85">
        <f t="shared" si="43"/>
        <v>143.9</v>
      </c>
      <c r="L76" s="86">
        <f t="shared" si="38"/>
        <v>5.1291785714285716</v>
      </c>
      <c r="M76" s="87">
        <f t="shared" si="40"/>
        <v>5.3824404761904532E-2</v>
      </c>
      <c r="N76" s="87">
        <f t="shared" si="26"/>
        <v>5.0538244047619045</v>
      </c>
      <c r="O76" s="79">
        <f t="shared" si="39"/>
        <v>51.291785714285709</v>
      </c>
      <c r="P76" s="88">
        <f>IF(I76=TRUE,SUMIFS(base!D$3:D$100,base!C$3:C$100,base!C70),"")</f>
        <v>4071</v>
      </c>
      <c r="Q76" s="79">
        <f t="shared" si="27"/>
        <v>28.055174526692522</v>
      </c>
      <c r="R76" s="88">
        <f t="shared" si="28"/>
        <v>793.69433980656879</v>
      </c>
      <c r="S76" s="92">
        <f t="shared" si="33"/>
        <v>43359.345494404763</v>
      </c>
      <c r="T76" s="90">
        <f t="shared" si="41"/>
        <v>8</v>
      </c>
      <c r="U76" s="91" t="s">
        <v>46</v>
      </c>
      <c r="V76" s="90">
        <f t="shared" si="29"/>
        <v>17</v>
      </c>
      <c r="W76" s="7"/>
      <c r="X76" s="7"/>
      <c r="Y76" s="8"/>
      <c r="Z76" s="93" t="str">
        <f t="shared" si="42"/>
        <v>&lt;= !</v>
      </c>
      <c r="AA76" s="94">
        <f t="shared" si="35"/>
        <v>0</v>
      </c>
      <c r="AB76" s="95">
        <f t="shared" si="36"/>
        <v>43359.345494404763</v>
      </c>
      <c r="AC76" s="78">
        <f t="shared" si="30"/>
        <v>8</v>
      </c>
      <c r="AD76" s="78" t="s">
        <v>46</v>
      </c>
      <c r="AE76" s="78">
        <f t="shared" si="31"/>
        <v>17</v>
      </c>
      <c r="AF76" s="10"/>
      <c r="AG76" s="10"/>
      <c r="AH76" s="10"/>
    </row>
  </sheetData>
  <sheetProtection algorithmName="SHA-512" hashValue="+Oh2nMm+szMs8EsKiz8xygYE0P6WNgwRritBBmWhAlLyIF9AtLpQDlTgpf6/zcgDcPTZ1yHrcFdVxv36cggPLQ==" saltValue="Ior9Fynoo/NVYG6WJpjwdA==" spinCount="100000" sheet="1" formatColumns="0" selectLockedCells="1"/>
  <mergeCells count="11">
    <mergeCell ref="A5:F6"/>
    <mergeCell ref="AF5:AH6"/>
    <mergeCell ref="F1:S1"/>
    <mergeCell ref="F3:S3"/>
    <mergeCell ref="AC7:AE7"/>
    <mergeCell ref="S6:AE6"/>
    <mergeCell ref="K5:AE5"/>
    <mergeCell ref="H5:H7"/>
    <mergeCell ref="K6:P6"/>
    <mergeCell ref="Q6:R6"/>
    <mergeCell ref="T7:V7"/>
  </mergeCells>
  <conditionalFormatting sqref="Y9:AA76">
    <cfRule type="containsText" dxfId="8" priority="21" operator="containsText" text="&quot;prévoir&quot;">
      <formula>NOT(ISERROR(SEARCH("""prévoir""",Y9)))</formula>
    </cfRule>
  </conditionalFormatting>
  <conditionalFormatting sqref="Z9:AA76">
    <cfRule type="containsText" dxfId="7" priority="20" operator="containsText" text="&lt;= !">
      <formula>NOT(ISERROR(SEARCH("&lt;= !",Z9)))</formula>
    </cfRule>
  </conditionalFormatting>
  <conditionalFormatting sqref="T8:T76">
    <cfRule type="cellIs" dxfId="6" priority="17" operator="greaterThan">
      <formula>18</formula>
    </cfRule>
  </conditionalFormatting>
  <conditionalFormatting sqref="AC8:AC76">
    <cfRule type="cellIs" dxfId="5" priority="16" operator="greaterThan">
      <formula>16</formula>
    </cfRule>
  </conditionalFormatting>
  <conditionalFormatting sqref="S9:S76">
    <cfRule type="expression" dxfId="4" priority="14">
      <formula>$I9=FALSE</formula>
    </cfRule>
  </conditionalFormatting>
  <conditionalFormatting sqref="AF8:AF76">
    <cfRule type="notContainsBlanks" dxfId="3" priority="6">
      <formula>LEN(TRIM(AF8))&gt;0</formula>
    </cfRule>
  </conditionalFormatting>
  <conditionalFormatting sqref="AG8:AG76">
    <cfRule type="notContainsBlanks" dxfId="2" priority="5">
      <formula>LEN(TRIM(AG8))&gt;0</formula>
    </cfRule>
  </conditionalFormatting>
  <conditionalFormatting sqref="AH8:AH76">
    <cfRule type="notContainsBlanks" dxfId="1" priority="4">
      <formula>LEN(TRIM(AH8))&gt;0</formula>
    </cfRule>
  </conditionalFormatting>
  <conditionalFormatting sqref="AB9:AB76">
    <cfRule type="expression" dxfId="0" priority="3">
      <formula>$I9=FALSE</formula>
    </cfRule>
  </conditionalFormatting>
  <conditionalFormatting sqref="L20:L76">
    <cfRule type="colorScale" priority="2">
      <colorScale>
        <cfvo type="min"/>
        <cfvo type="percentile" val="50"/>
        <cfvo type="max"/>
        <color rgb="FF63BE7B"/>
        <color rgb="FFFFEB84"/>
        <color rgb="FFF8696B"/>
      </colorScale>
    </cfRule>
  </conditionalFormatting>
  <conditionalFormatting sqref="L8:L76">
    <cfRule type="colorScale" priority="1">
      <colorScale>
        <cfvo type="min"/>
        <cfvo type="percentile" val="50"/>
        <cfvo type="max"/>
        <color rgb="FF63BE7B"/>
        <color rgb="FFFFEB84"/>
        <color rgb="FFF8696B"/>
      </colorScale>
    </cfRule>
  </conditionalFormatting>
  <printOptions horizontalCentered="1"/>
  <pageMargins left="0.11811023622047245" right="0.11811023622047245" top="0.35433070866141736" bottom="0.35433070866141736" header="0.31496062992125984" footer="0.31496062992125984"/>
  <pageSetup paperSize="9" scale="80" orientation="landscape"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7</xdr:col>
                    <xdr:colOff>85725</xdr:colOff>
                    <xdr:row>8</xdr:row>
                    <xdr:rowOff>9525</xdr:rowOff>
                  </from>
                  <to>
                    <xdr:col>7</xdr:col>
                    <xdr:colOff>390525</xdr:colOff>
                    <xdr:row>9</xdr:row>
                    <xdr:rowOff>28575</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7</xdr:col>
                    <xdr:colOff>85725</xdr:colOff>
                    <xdr:row>9</xdr:row>
                    <xdr:rowOff>0</xdr:rowOff>
                  </from>
                  <to>
                    <xdr:col>7</xdr:col>
                    <xdr:colOff>390525</xdr:colOff>
                    <xdr:row>10</xdr:row>
                    <xdr:rowOff>19050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7</xdr:col>
                    <xdr:colOff>85725</xdr:colOff>
                    <xdr:row>10</xdr:row>
                    <xdr:rowOff>9525</xdr:rowOff>
                  </from>
                  <to>
                    <xdr:col>7</xdr:col>
                    <xdr:colOff>390525</xdr:colOff>
                    <xdr:row>11</xdr:row>
                    <xdr:rowOff>28575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7</xdr:col>
                    <xdr:colOff>85725</xdr:colOff>
                    <xdr:row>10</xdr:row>
                    <xdr:rowOff>171450</xdr:rowOff>
                  </from>
                  <to>
                    <xdr:col>7</xdr:col>
                    <xdr:colOff>390525</xdr:colOff>
                    <xdr:row>11</xdr:row>
                    <xdr:rowOff>190500</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7</xdr:col>
                    <xdr:colOff>85725</xdr:colOff>
                    <xdr:row>11</xdr:row>
                    <xdr:rowOff>171450</xdr:rowOff>
                  </from>
                  <to>
                    <xdr:col>7</xdr:col>
                    <xdr:colOff>390525</xdr:colOff>
                    <xdr:row>12</xdr:row>
                    <xdr:rowOff>190500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7</xdr:col>
                    <xdr:colOff>85725</xdr:colOff>
                    <xdr:row>12</xdr:row>
                    <xdr:rowOff>180975</xdr:rowOff>
                  </from>
                  <to>
                    <xdr:col>7</xdr:col>
                    <xdr:colOff>390525</xdr:colOff>
                    <xdr:row>14</xdr:row>
                    <xdr:rowOff>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7</xdr:col>
                    <xdr:colOff>85725</xdr:colOff>
                    <xdr:row>13</xdr:row>
                    <xdr:rowOff>180975</xdr:rowOff>
                  </from>
                  <to>
                    <xdr:col>7</xdr:col>
                    <xdr:colOff>390525</xdr:colOff>
                    <xdr:row>15</xdr:row>
                    <xdr:rowOff>0</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7</xdr:col>
                    <xdr:colOff>85725</xdr:colOff>
                    <xdr:row>15</xdr:row>
                    <xdr:rowOff>0</xdr:rowOff>
                  </from>
                  <to>
                    <xdr:col>7</xdr:col>
                    <xdr:colOff>390525</xdr:colOff>
                    <xdr:row>16</xdr:row>
                    <xdr:rowOff>19050</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7</xdr:col>
                    <xdr:colOff>85725</xdr:colOff>
                    <xdr:row>15</xdr:row>
                    <xdr:rowOff>190500</xdr:rowOff>
                  </from>
                  <to>
                    <xdr:col>7</xdr:col>
                    <xdr:colOff>390525</xdr:colOff>
                    <xdr:row>17</xdr:row>
                    <xdr:rowOff>9525</xdr:rowOff>
                  </to>
                </anchor>
              </controlPr>
            </control>
          </mc:Choice>
        </mc:AlternateContent>
        <mc:AlternateContent xmlns:mc="http://schemas.openxmlformats.org/markup-compatibility/2006">
          <mc:Choice Requires="x14">
            <control shapeId="1042" r:id="rId13" name="Check Box 18">
              <controlPr locked="0" defaultSize="0" autoFill="0" autoLine="0" autoPict="0" altText="">
                <anchor moveWithCells="1">
                  <from>
                    <xdr:col>7</xdr:col>
                    <xdr:colOff>85725</xdr:colOff>
                    <xdr:row>16</xdr:row>
                    <xdr:rowOff>161925</xdr:rowOff>
                  </from>
                  <to>
                    <xdr:col>7</xdr:col>
                    <xdr:colOff>390525</xdr:colOff>
                    <xdr:row>17</xdr:row>
                    <xdr:rowOff>180975</xdr:rowOff>
                  </to>
                </anchor>
              </controlPr>
            </control>
          </mc:Choice>
        </mc:AlternateContent>
        <mc:AlternateContent xmlns:mc="http://schemas.openxmlformats.org/markup-compatibility/2006">
          <mc:Choice Requires="x14">
            <control shapeId="1043" r:id="rId14" name="Check Box 19">
              <controlPr locked="0" defaultSize="0" autoFill="0" autoLine="0" autoPict="0">
                <anchor moveWithCells="1">
                  <from>
                    <xdr:col>7</xdr:col>
                    <xdr:colOff>85725</xdr:colOff>
                    <xdr:row>17</xdr:row>
                    <xdr:rowOff>171450</xdr:rowOff>
                  </from>
                  <to>
                    <xdr:col>7</xdr:col>
                    <xdr:colOff>390525</xdr:colOff>
                    <xdr:row>18</xdr:row>
                    <xdr:rowOff>190500</xdr:rowOff>
                  </to>
                </anchor>
              </controlPr>
            </control>
          </mc:Choice>
        </mc:AlternateContent>
        <mc:AlternateContent xmlns:mc="http://schemas.openxmlformats.org/markup-compatibility/2006">
          <mc:Choice Requires="x14">
            <control shapeId="1044" r:id="rId15" name="Check Box 20">
              <controlPr locked="0" defaultSize="0" autoFill="0" autoLine="0" autoPict="0">
                <anchor moveWithCells="1">
                  <from>
                    <xdr:col>7</xdr:col>
                    <xdr:colOff>85725</xdr:colOff>
                    <xdr:row>18</xdr:row>
                    <xdr:rowOff>180975</xdr:rowOff>
                  </from>
                  <to>
                    <xdr:col>7</xdr:col>
                    <xdr:colOff>390525</xdr:colOff>
                    <xdr:row>20</xdr:row>
                    <xdr:rowOff>0</xdr:rowOff>
                  </to>
                </anchor>
              </controlPr>
            </control>
          </mc:Choice>
        </mc:AlternateContent>
        <mc:AlternateContent xmlns:mc="http://schemas.openxmlformats.org/markup-compatibility/2006">
          <mc:Choice Requires="x14">
            <control shapeId="1045" r:id="rId16" name="Check Box 21">
              <controlPr locked="0" defaultSize="0" autoFill="0" autoLine="0" autoPict="0">
                <anchor moveWithCells="1">
                  <from>
                    <xdr:col>7</xdr:col>
                    <xdr:colOff>85725</xdr:colOff>
                    <xdr:row>19</xdr:row>
                    <xdr:rowOff>171450</xdr:rowOff>
                  </from>
                  <to>
                    <xdr:col>7</xdr:col>
                    <xdr:colOff>390525</xdr:colOff>
                    <xdr:row>20</xdr:row>
                    <xdr:rowOff>190500</xdr:rowOff>
                  </to>
                </anchor>
              </controlPr>
            </control>
          </mc:Choice>
        </mc:AlternateContent>
        <mc:AlternateContent xmlns:mc="http://schemas.openxmlformats.org/markup-compatibility/2006">
          <mc:Choice Requires="x14">
            <control shapeId="1046" r:id="rId17" name="Check Box 22">
              <controlPr locked="0" defaultSize="0" autoFill="0" autoLine="0" autoPict="0">
                <anchor moveWithCells="1">
                  <from>
                    <xdr:col>7</xdr:col>
                    <xdr:colOff>85725</xdr:colOff>
                    <xdr:row>20</xdr:row>
                    <xdr:rowOff>180975</xdr:rowOff>
                  </from>
                  <to>
                    <xdr:col>7</xdr:col>
                    <xdr:colOff>390525</xdr:colOff>
                    <xdr:row>22</xdr:row>
                    <xdr:rowOff>0</xdr:rowOff>
                  </to>
                </anchor>
              </controlPr>
            </control>
          </mc:Choice>
        </mc:AlternateContent>
        <mc:AlternateContent xmlns:mc="http://schemas.openxmlformats.org/markup-compatibility/2006">
          <mc:Choice Requires="x14">
            <control shapeId="1047" r:id="rId18" name="Check Box 23">
              <controlPr locked="0" defaultSize="0" autoFill="0" autoLine="0" autoPict="0">
                <anchor moveWithCells="1">
                  <from>
                    <xdr:col>7</xdr:col>
                    <xdr:colOff>85725</xdr:colOff>
                    <xdr:row>21</xdr:row>
                    <xdr:rowOff>171450</xdr:rowOff>
                  </from>
                  <to>
                    <xdr:col>7</xdr:col>
                    <xdr:colOff>390525</xdr:colOff>
                    <xdr:row>22</xdr:row>
                    <xdr:rowOff>190500</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7</xdr:col>
                    <xdr:colOff>85725</xdr:colOff>
                    <xdr:row>22</xdr:row>
                    <xdr:rowOff>180975</xdr:rowOff>
                  </from>
                  <to>
                    <xdr:col>7</xdr:col>
                    <xdr:colOff>390525</xdr:colOff>
                    <xdr:row>24</xdr:row>
                    <xdr:rowOff>0</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7</xdr:col>
                    <xdr:colOff>95250</xdr:colOff>
                    <xdr:row>23</xdr:row>
                    <xdr:rowOff>190500</xdr:rowOff>
                  </from>
                  <to>
                    <xdr:col>7</xdr:col>
                    <xdr:colOff>400050</xdr:colOff>
                    <xdr:row>25</xdr:row>
                    <xdr:rowOff>9525</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7</xdr:col>
                    <xdr:colOff>85725</xdr:colOff>
                    <xdr:row>24</xdr:row>
                    <xdr:rowOff>190500</xdr:rowOff>
                  </from>
                  <to>
                    <xdr:col>7</xdr:col>
                    <xdr:colOff>390525</xdr:colOff>
                    <xdr:row>26</xdr:row>
                    <xdr:rowOff>9525</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7</xdr:col>
                    <xdr:colOff>85725</xdr:colOff>
                    <xdr:row>25</xdr:row>
                    <xdr:rowOff>190500</xdr:rowOff>
                  </from>
                  <to>
                    <xdr:col>7</xdr:col>
                    <xdr:colOff>390525</xdr:colOff>
                    <xdr:row>27</xdr:row>
                    <xdr:rowOff>9525</xdr:rowOff>
                  </to>
                </anchor>
              </controlPr>
            </control>
          </mc:Choice>
        </mc:AlternateContent>
        <mc:AlternateContent xmlns:mc="http://schemas.openxmlformats.org/markup-compatibility/2006">
          <mc:Choice Requires="x14">
            <control shapeId="1052" r:id="rId23" name="Check Box 28">
              <controlPr locked="0" defaultSize="0" autoFill="0" autoLine="0" autoPict="0">
                <anchor moveWithCells="1">
                  <from>
                    <xdr:col>7</xdr:col>
                    <xdr:colOff>76200</xdr:colOff>
                    <xdr:row>26</xdr:row>
                    <xdr:rowOff>180975</xdr:rowOff>
                  </from>
                  <to>
                    <xdr:col>7</xdr:col>
                    <xdr:colOff>381000</xdr:colOff>
                    <xdr:row>28</xdr:row>
                    <xdr:rowOff>0</xdr:rowOff>
                  </to>
                </anchor>
              </controlPr>
            </control>
          </mc:Choice>
        </mc:AlternateContent>
        <mc:AlternateContent xmlns:mc="http://schemas.openxmlformats.org/markup-compatibility/2006">
          <mc:Choice Requires="x14">
            <control shapeId="1053" r:id="rId24" name="Check Box 29">
              <controlPr locked="0" defaultSize="0" autoFill="0" autoLine="0" autoPict="0">
                <anchor moveWithCells="1">
                  <from>
                    <xdr:col>7</xdr:col>
                    <xdr:colOff>76200</xdr:colOff>
                    <xdr:row>27</xdr:row>
                    <xdr:rowOff>190500</xdr:rowOff>
                  </from>
                  <to>
                    <xdr:col>7</xdr:col>
                    <xdr:colOff>381000</xdr:colOff>
                    <xdr:row>29</xdr:row>
                    <xdr:rowOff>9525</xdr:rowOff>
                  </to>
                </anchor>
              </controlPr>
            </control>
          </mc:Choice>
        </mc:AlternateContent>
        <mc:AlternateContent xmlns:mc="http://schemas.openxmlformats.org/markup-compatibility/2006">
          <mc:Choice Requires="x14">
            <control shapeId="1054" r:id="rId25" name="Check Box 30">
              <controlPr locked="0" defaultSize="0" autoFill="0" autoLine="0" autoPict="0">
                <anchor moveWithCells="1">
                  <from>
                    <xdr:col>7</xdr:col>
                    <xdr:colOff>85725</xdr:colOff>
                    <xdr:row>28</xdr:row>
                    <xdr:rowOff>171450</xdr:rowOff>
                  </from>
                  <to>
                    <xdr:col>7</xdr:col>
                    <xdr:colOff>390525</xdr:colOff>
                    <xdr:row>29</xdr:row>
                    <xdr:rowOff>190500</xdr:rowOff>
                  </to>
                </anchor>
              </controlPr>
            </control>
          </mc:Choice>
        </mc:AlternateContent>
        <mc:AlternateContent xmlns:mc="http://schemas.openxmlformats.org/markup-compatibility/2006">
          <mc:Choice Requires="x14">
            <control shapeId="1055" r:id="rId26" name="Check Box 31">
              <controlPr locked="0" defaultSize="0" autoFill="0" autoLine="0" autoPict="0">
                <anchor moveWithCells="1">
                  <from>
                    <xdr:col>7</xdr:col>
                    <xdr:colOff>76200</xdr:colOff>
                    <xdr:row>29</xdr:row>
                    <xdr:rowOff>180975</xdr:rowOff>
                  </from>
                  <to>
                    <xdr:col>7</xdr:col>
                    <xdr:colOff>381000</xdr:colOff>
                    <xdr:row>31</xdr:row>
                    <xdr:rowOff>0</xdr:rowOff>
                  </to>
                </anchor>
              </controlPr>
            </control>
          </mc:Choice>
        </mc:AlternateContent>
        <mc:AlternateContent xmlns:mc="http://schemas.openxmlformats.org/markup-compatibility/2006">
          <mc:Choice Requires="x14">
            <control shapeId="1056" r:id="rId27" name="Check Box 32">
              <controlPr locked="0" defaultSize="0" autoFill="0" autoLine="0" autoPict="0">
                <anchor moveWithCells="1">
                  <from>
                    <xdr:col>7</xdr:col>
                    <xdr:colOff>85725</xdr:colOff>
                    <xdr:row>30</xdr:row>
                    <xdr:rowOff>180975</xdr:rowOff>
                  </from>
                  <to>
                    <xdr:col>7</xdr:col>
                    <xdr:colOff>390525</xdr:colOff>
                    <xdr:row>32</xdr:row>
                    <xdr:rowOff>0</xdr:rowOff>
                  </to>
                </anchor>
              </controlPr>
            </control>
          </mc:Choice>
        </mc:AlternateContent>
        <mc:AlternateContent xmlns:mc="http://schemas.openxmlformats.org/markup-compatibility/2006">
          <mc:Choice Requires="x14">
            <control shapeId="1059" r:id="rId28" name="Check Box 35">
              <controlPr locked="0" defaultSize="0" autoFill="0" autoLine="0" autoPict="0">
                <anchor moveWithCells="1">
                  <from>
                    <xdr:col>7</xdr:col>
                    <xdr:colOff>76200</xdr:colOff>
                    <xdr:row>31</xdr:row>
                    <xdr:rowOff>180975</xdr:rowOff>
                  </from>
                  <to>
                    <xdr:col>7</xdr:col>
                    <xdr:colOff>381000</xdr:colOff>
                    <xdr:row>33</xdr:row>
                    <xdr:rowOff>0</xdr:rowOff>
                  </to>
                </anchor>
              </controlPr>
            </control>
          </mc:Choice>
        </mc:AlternateContent>
        <mc:AlternateContent xmlns:mc="http://schemas.openxmlformats.org/markup-compatibility/2006">
          <mc:Choice Requires="x14">
            <control shapeId="1060" r:id="rId29" name="Check Box 36">
              <controlPr locked="0" defaultSize="0" autoFill="0" autoLine="0" autoPict="0">
                <anchor moveWithCells="1">
                  <from>
                    <xdr:col>7</xdr:col>
                    <xdr:colOff>85725</xdr:colOff>
                    <xdr:row>32</xdr:row>
                    <xdr:rowOff>180975</xdr:rowOff>
                  </from>
                  <to>
                    <xdr:col>7</xdr:col>
                    <xdr:colOff>390525</xdr:colOff>
                    <xdr:row>34</xdr:row>
                    <xdr:rowOff>0</xdr:rowOff>
                  </to>
                </anchor>
              </controlPr>
            </control>
          </mc:Choice>
        </mc:AlternateContent>
        <mc:AlternateContent xmlns:mc="http://schemas.openxmlformats.org/markup-compatibility/2006">
          <mc:Choice Requires="x14">
            <control shapeId="1105" r:id="rId30" name="Check Box 81">
              <controlPr locked="0" defaultSize="0" autoFill="0" autoLine="0" autoPict="0">
                <anchor moveWithCells="1">
                  <from>
                    <xdr:col>7</xdr:col>
                    <xdr:colOff>85725</xdr:colOff>
                    <xdr:row>33</xdr:row>
                    <xdr:rowOff>180975</xdr:rowOff>
                  </from>
                  <to>
                    <xdr:col>7</xdr:col>
                    <xdr:colOff>390525</xdr:colOff>
                    <xdr:row>35</xdr:row>
                    <xdr:rowOff>0</xdr:rowOff>
                  </to>
                </anchor>
              </controlPr>
            </control>
          </mc:Choice>
        </mc:AlternateContent>
        <mc:AlternateContent xmlns:mc="http://schemas.openxmlformats.org/markup-compatibility/2006">
          <mc:Choice Requires="x14">
            <control shapeId="1107" r:id="rId31" name="Check Box 83">
              <controlPr locked="0" defaultSize="0" autoFill="0" autoLine="0" autoPict="0">
                <anchor moveWithCells="1">
                  <from>
                    <xdr:col>7</xdr:col>
                    <xdr:colOff>76200</xdr:colOff>
                    <xdr:row>34</xdr:row>
                    <xdr:rowOff>171450</xdr:rowOff>
                  </from>
                  <to>
                    <xdr:col>7</xdr:col>
                    <xdr:colOff>381000</xdr:colOff>
                    <xdr:row>35</xdr:row>
                    <xdr:rowOff>190500</xdr:rowOff>
                  </to>
                </anchor>
              </controlPr>
            </control>
          </mc:Choice>
        </mc:AlternateContent>
        <mc:AlternateContent xmlns:mc="http://schemas.openxmlformats.org/markup-compatibility/2006">
          <mc:Choice Requires="x14">
            <control shapeId="1109" r:id="rId32" name="Check Box 85">
              <controlPr locked="0" defaultSize="0" autoFill="0" autoLine="0" autoPict="0">
                <anchor moveWithCells="1">
                  <from>
                    <xdr:col>7</xdr:col>
                    <xdr:colOff>66675</xdr:colOff>
                    <xdr:row>35</xdr:row>
                    <xdr:rowOff>180975</xdr:rowOff>
                  </from>
                  <to>
                    <xdr:col>7</xdr:col>
                    <xdr:colOff>371475</xdr:colOff>
                    <xdr:row>37</xdr:row>
                    <xdr:rowOff>0</xdr:rowOff>
                  </to>
                </anchor>
              </controlPr>
            </control>
          </mc:Choice>
        </mc:AlternateContent>
        <mc:AlternateContent xmlns:mc="http://schemas.openxmlformats.org/markup-compatibility/2006">
          <mc:Choice Requires="x14">
            <control shapeId="1111" r:id="rId33" name="Check Box 87">
              <controlPr locked="0" defaultSize="0" autoFill="0" autoLine="0" autoPict="0">
                <anchor moveWithCells="1">
                  <from>
                    <xdr:col>7</xdr:col>
                    <xdr:colOff>104775</xdr:colOff>
                    <xdr:row>37</xdr:row>
                    <xdr:rowOff>9525</xdr:rowOff>
                  </from>
                  <to>
                    <xdr:col>7</xdr:col>
                    <xdr:colOff>409575</xdr:colOff>
                    <xdr:row>38</xdr:row>
                    <xdr:rowOff>28575</xdr:rowOff>
                  </to>
                </anchor>
              </controlPr>
            </control>
          </mc:Choice>
        </mc:AlternateContent>
        <mc:AlternateContent xmlns:mc="http://schemas.openxmlformats.org/markup-compatibility/2006">
          <mc:Choice Requires="x14">
            <control shapeId="1113" r:id="rId34" name="Check Box 89">
              <controlPr locked="0" defaultSize="0" autoFill="0" autoLine="0" autoPict="0">
                <anchor moveWithCells="1">
                  <from>
                    <xdr:col>7</xdr:col>
                    <xdr:colOff>95250</xdr:colOff>
                    <xdr:row>37</xdr:row>
                    <xdr:rowOff>171450</xdr:rowOff>
                  </from>
                  <to>
                    <xdr:col>7</xdr:col>
                    <xdr:colOff>400050</xdr:colOff>
                    <xdr:row>38</xdr:row>
                    <xdr:rowOff>190500</xdr:rowOff>
                  </to>
                </anchor>
              </controlPr>
            </control>
          </mc:Choice>
        </mc:AlternateContent>
        <mc:AlternateContent xmlns:mc="http://schemas.openxmlformats.org/markup-compatibility/2006">
          <mc:Choice Requires="x14">
            <control shapeId="1115" r:id="rId35" name="Check Box 91">
              <controlPr locked="0" defaultSize="0" autoFill="0" autoLine="0" autoPict="0">
                <anchor moveWithCells="1">
                  <from>
                    <xdr:col>7</xdr:col>
                    <xdr:colOff>104775</xdr:colOff>
                    <xdr:row>38</xdr:row>
                    <xdr:rowOff>171450</xdr:rowOff>
                  </from>
                  <to>
                    <xdr:col>7</xdr:col>
                    <xdr:colOff>409575</xdr:colOff>
                    <xdr:row>39</xdr:row>
                    <xdr:rowOff>190500</xdr:rowOff>
                  </to>
                </anchor>
              </controlPr>
            </control>
          </mc:Choice>
        </mc:AlternateContent>
        <mc:AlternateContent xmlns:mc="http://schemas.openxmlformats.org/markup-compatibility/2006">
          <mc:Choice Requires="x14">
            <control shapeId="1117" r:id="rId36" name="Check Box 93">
              <controlPr locked="0" defaultSize="0" autoFill="0" autoLine="0" autoPict="0">
                <anchor moveWithCells="1">
                  <from>
                    <xdr:col>7</xdr:col>
                    <xdr:colOff>104775</xdr:colOff>
                    <xdr:row>39</xdr:row>
                    <xdr:rowOff>171450</xdr:rowOff>
                  </from>
                  <to>
                    <xdr:col>7</xdr:col>
                    <xdr:colOff>409575</xdr:colOff>
                    <xdr:row>40</xdr:row>
                    <xdr:rowOff>190500</xdr:rowOff>
                  </to>
                </anchor>
              </controlPr>
            </control>
          </mc:Choice>
        </mc:AlternateContent>
        <mc:AlternateContent xmlns:mc="http://schemas.openxmlformats.org/markup-compatibility/2006">
          <mc:Choice Requires="x14">
            <control shapeId="1119" r:id="rId37" name="Check Box 95">
              <controlPr locked="0" defaultSize="0" autoFill="0" autoLine="0" autoPict="0">
                <anchor moveWithCells="1">
                  <from>
                    <xdr:col>7</xdr:col>
                    <xdr:colOff>95250</xdr:colOff>
                    <xdr:row>40</xdr:row>
                    <xdr:rowOff>171450</xdr:rowOff>
                  </from>
                  <to>
                    <xdr:col>7</xdr:col>
                    <xdr:colOff>400050</xdr:colOff>
                    <xdr:row>41</xdr:row>
                    <xdr:rowOff>190500</xdr:rowOff>
                  </to>
                </anchor>
              </controlPr>
            </control>
          </mc:Choice>
        </mc:AlternateContent>
        <mc:AlternateContent xmlns:mc="http://schemas.openxmlformats.org/markup-compatibility/2006">
          <mc:Choice Requires="x14">
            <control shapeId="1121" r:id="rId38" name="Check Box 97">
              <controlPr locked="0" defaultSize="0" autoFill="0" autoLine="0" autoPict="0">
                <anchor moveWithCells="1">
                  <from>
                    <xdr:col>7</xdr:col>
                    <xdr:colOff>95250</xdr:colOff>
                    <xdr:row>41</xdr:row>
                    <xdr:rowOff>171450</xdr:rowOff>
                  </from>
                  <to>
                    <xdr:col>7</xdr:col>
                    <xdr:colOff>400050</xdr:colOff>
                    <xdr:row>42</xdr:row>
                    <xdr:rowOff>190500</xdr:rowOff>
                  </to>
                </anchor>
              </controlPr>
            </control>
          </mc:Choice>
        </mc:AlternateContent>
        <mc:AlternateContent xmlns:mc="http://schemas.openxmlformats.org/markup-compatibility/2006">
          <mc:Choice Requires="x14">
            <control shapeId="1123" r:id="rId39" name="Check Box 99">
              <controlPr locked="0" defaultSize="0" autoFill="0" autoLine="0" autoPict="0">
                <anchor moveWithCells="1">
                  <from>
                    <xdr:col>7</xdr:col>
                    <xdr:colOff>95250</xdr:colOff>
                    <xdr:row>42</xdr:row>
                    <xdr:rowOff>171450</xdr:rowOff>
                  </from>
                  <to>
                    <xdr:col>7</xdr:col>
                    <xdr:colOff>400050</xdr:colOff>
                    <xdr:row>43</xdr:row>
                    <xdr:rowOff>190500</xdr:rowOff>
                  </to>
                </anchor>
              </controlPr>
            </control>
          </mc:Choice>
        </mc:AlternateContent>
        <mc:AlternateContent xmlns:mc="http://schemas.openxmlformats.org/markup-compatibility/2006">
          <mc:Choice Requires="x14">
            <control shapeId="1125" r:id="rId40" name="Check Box 101">
              <controlPr locked="0" defaultSize="0" autoFill="0" autoLine="0" autoPict="0">
                <anchor moveWithCells="1">
                  <from>
                    <xdr:col>7</xdr:col>
                    <xdr:colOff>85725</xdr:colOff>
                    <xdr:row>43</xdr:row>
                    <xdr:rowOff>171450</xdr:rowOff>
                  </from>
                  <to>
                    <xdr:col>7</xdr:col>
                    <xdr:colOff>390525</xdr:colOff>
                    <xdr:row>44</xdr:row>
                    <xdr:rowOff>190500</xdr:rowOff>
                  </to>
                </anchor>
              </controlPr>
            </control>
          </mc:Choice>
        </mc:AlternateContent>
        <mc:AlternateContent xmlns:mc="http://schemas.openxmlformats.org/markup-compatibility/2006">
          <mc:Choice Requires="x14">
            <control shapeId="1127" r:id="rId41" name="Check Box 103">
              <controlPr locked="0" defaultSize="0" autoFill="0" autoLine="0" autoPict="0">
                <anchor moveWithCells="1">
                  <from>
                    <xdr:col>7</xdr:col>
                    <xdr:colOff>85725</xdr:colOff>
                    <xdr:row>44</xdr:row>
                    <xdr:rowOff>171450</xdr:rowOff>
                  </from>
                  <to>
                    <xdr:col>7</xdr:col>
                    <xdr:colOff>390525</xdr:colOff>
                    <xdr:row>45</xdr:row>
                    <xdr:rowOff>190500</xdr:rowOff>
                  </to>
                </anchor>
              </controlPr>
            </control>
          </mc:Choice>
        </mc:AlternateContent>
        <mc:AlternateContent xmlns:mc="http://schemas.openxmlformats.org/markup-compatibility/2006">
          <mc:Choice Requires="x14">
            <control shapeId="1129" r:id="rId42" name="Check Box 105">
              <controlPr locked="0" defaultSize="0" autoFill="0" autoLine="0" autoPict="0">
                <anchor moveWithCells="1">
                  <from>
                    <xdr:col>7</xdr:col>
                    <xdr:colOff>85725</xdr:colOff>
                    <xdr:row>45</xdr:row>
                    <xdr:rowOff>171450</xdr:rowOff>
                  </from>
                  <to>
                    <xdr:col>7</xdr:col>
                    <xdr:colOff>390525</xdr:colOff>
                    <xdr:row>46</xdr:row>
                    <xdr:rowOff>190500</xdr:rowOff>
                  </to>
                </anchor>
              </controlPr>
            </control>
          </mc:Choice>
        </mc:AlternateContent>
        <mc:AlternateContent xmlns:mc="http://schemas.openxmlformats.org/markup-compatibility/2006">
          <mc:Choice Requires="x14">
            <control shapeId="1131" r:id="rId43" name="Check Box 107">
              <controlPr locked="0" defaultSize="0" autoFill="0" autoLine="0" autoPict="0">
                <anchor moveWithCells="1">
                  <from>
                    <xdr:col>7</xdr:col>
                    <xdr:colOff>85725</xdr:colOff>
                    <xdr:row>46</xdr:row>
                    <xdr:rowOff>171450</xdr:rowOff>
                  </from>
                  <to>
                    <xdr:col>7</xdr:col>
                    <xdr:colOff>390525</xdr:colOff>
                    <xdr:row>47</xdr:row>
                    <xdr:rowOff>190500</xdr:rowOff>
                  </to>
                </anchor>
              </controlPr>
            </control>
          </mc:Choice>
        </mc:AlternateContent>
        <mc:AlternateContent xmlns:mc="http://schemas.openxmlformats.org/markup-compatibility/2006">
          <mc:Choice Requires="x14">
            <control shapeId="1133" r:id="rId44" name="Check Box 109">
              <controlPr locked="0" defaultSize="0" autoFill="0" autoLine="0" autoPict="0">
                <anchor moveWithCells="1">
                  <from>
                    <xdr:col>7</xdr:col>
                    <xdr:colOff>85725</xdr:colOff>
                    <xdr:row>47</xdr:row>
                    <xdr:rowOff>171450</xdr:rowOff>
                  </from>
                  <to>
                    <xdr:col>7</xdr:col>
                    <xdr:colOff>390525</xdr:colOff>
                    <xdr:row>48</xdr:row>
                    <xdr:rowOff>190500</xdr:rowOff>
                  </to>
                </anchor>
              </controlPr>
            </control>
          </mc:Choice>
        </mc:AlternateContent>
        <mc:AlternateContent xmlns:mc="http://schemas.openxmlformats.org/markup-compatibility/2006">
          <mc:Choice Requires="x14">
            <control shapeId="1135" r:id="rId45" name="Check Box 111">
              <controlPr locked="0" defaultSize="0" autoFill="0" autoLine="0" autoPict="0">
                <anchor moveWithCells="1">
                  <from>
                    <xdr:col>7</xdr:col>
                    <xdr:colOff>76200</xdr:colOff>
                    <xdr:row>48</xdr:row>
                    <xdr:rowOff>171450</xdr:rowOff>
                  </from>
                  <to>
                    <xdr:col>7</xdr:col>
                    <xdr:colOff>381000</xdr:colOff>
                    <xdr:row>49</xdr:row>
                    <xdr:rowOff>190500</xdr:rowOff>
                  </to>
                </anchor>
              </controlPr>
            </control>
          </mc:Choice>
        </mc:AlternateContent>
        <mc:AlternateContent xmlns:mc="http://schemas.openxmlformats.org/markup-compatibility/2006">
          <mc:Choice Requires="x14">
            <control shapeId="1137" r:id="rId46" name="Check Box 113">
              <controlPr locked="0" defaultSize="0" autoFill="0" autoLine="0" autoPict="0">
                <anchor moveWithCells="1">
                  <from>
                    <xdr:col>7</xdr:col>
                    <xdr:colOff>66675</xdr:colOff>
                    <xdr:row>50</xdr:row>
                    <xdr:rowOff>0</xdr:rowOff>
                  </from>
                  <to>
                    <xdr:col>7</xdr:col>
                    <xdr:colOff>371475</xdr:colOff>
                    <xdr:row>51</xdr:row>
                    <xdr:rowOff>19050</xdr:rowOff>
                  </to>
                </anchor>
              </controlPr>
            </control>
          </mc:Choice>
        </mc:AlternateContent>
        <mc:AlternateContent xmlns:mc="http://schemas.openxmlformats.org/markup-compatibility/2006">
          <mc:Choice Requires="x14">
            <control shapeId="1139" r:id="rId47" name="Check Box 115">
              <controlPr locked="0" defaultSize="0" autoFill="0" autoLine="0" autoPict="0">
                <anchor moveWithCells="1">
                  <from>
                    <xdr:col>7</xdr:col>
                    <xdr:colOff>66675</xdr:colOff>
                    <xdr:row>51</xdr:row>
                    <xdr:rowOff>0</xdr:rowOff>
                  </from>
                  <to>
                    <xdr:col>7</xdr:col>
                    <xdr:colOff>371475</xdr:colOff>
                    <xdr:row>52</xdr:row>
                    <xdr:rowOff>19050</xdr:rowOff>
                  </to>
                </anchor>
              </controlPr>
            </control>
          </mc:Choice>
        </mc:AlternateContent>
        <mc:AlternateContent xmlns:mc="http://schemas.openxmlformats.org/markup-compatibility/2006">
          <mc:Choice Requires="x14">
            <control shapeId="1141" r:id="rId48" name="Check Box 117">
              <controlPr locked="0" defaultSize="0" autoFill="0" autoLine="0" autoPict="0">
                <anchor moveWithCells="1">
                  <from>
                    <xdr:col>7</xdr:col>
                    <xdr:colOff>66675</xdr:colOff>
                    <xdr:row>52</xdr:row>
                    <xdr:rowOff>0</xdr:rowOff>
                  </from>
                  <to>
                    <xdr:col>7</xdr:col>
                    <xdr:colOff>371475</xdr:colOff>
                    <xdr:row>53</xdr:row>
                    <xdr:rowOff>19050</xdr:rowOff>
                  </to>
                </anchor>
              </controlPr>
            </control>
          </mc:Choice>
        </mc:AlternateContent>
        <mc:AlternateContent xmlns:mc="http://schemas.openxmlformats.org/markup-compatibility/2006">
          <mc:Choice Requires="x14">
            <control shapeId="1143" r:id="rId49" name="Check Box 119">
              <controlPr locked="0" defaultSize="0" autoFill="0" autoLine="0" autoPict="0">
                <anchor moveWithCells="1">
                  <from>
                    <xdr:col>7</xdr:col>
                    <xdr:colOff>66675</xdr:colOff>
                    <xdr:row>53</xdr:row>
                    <xdr:rowOff>0</xdr:rowOff>
                  </from>
                  <to>
                    <xdr:col>7</xdr:col>
                    <xdr:colOff>371475</xdr:colOff>
                    <xdr:row>54</xdr:row>
                    <xdr:rowOff>19050</xdr:rowOff>
                  </to>
                </anchor>
              </controlPr>
            </control>
          </mc:Choice>
        </mc:AlternateContent>
        <mc:AlternateContent xmlns:mc="http://schemas.openxmlformats.org/markup-compatibility/2006">
          <mc:Choice Requires="x14">
            <control shapeId="1145" r:id="rId50" name="Check Box 121">
              <controlPr locked="0" defaultSize="0" autoFill="0" autoLine="0" autoPict="0">
                <anchor moveWithCells="1">
                  <from>
                    <xdr:col>7</xdr:col>
                    <xdr:colOff>66675</xdr:colOff>
                    <xdr:row>54</xdr:row>
                    <xdr:rowOff>0</xdr:rowOff>
                  </from>
                  <to>
                    <xdr:col>7</xdr:col>
                    <xdr:colOff>371475</xdr:colOff>
                    <xdr:row>55</xdr:row>
                    <xdr:rowOff>19050</xdr:rowOff>
                  </to>
                </anchor>
              </controlPr>
            </control>
          </mc:Choice>
        </mc:AlternateContent>
        <mc:AlternateContent xmlns:mc="http://schemas.openxmlformats.org/markup-compatibility/2006">
          <mc:Choice Requires="x14">
            <control shapeId="1147" r:id="rId51" name="Check Box 123">
              <controlPr locked="0" defaultSize="0" autoFill="0" autoLine="0" autoPict="0">
                <anchor moveWithCells="1">
                  <from>
                    <xdr:col>7</xdr:col>
                    <xdr:colOff>66675</xdr:colOff>
                    <xdr:row>55</xdr:row>
                    <xdr:rowOff>0</xdr:rowOff>
                  </from>
                  <to>
                    <xdr:col>7</xdr:col>
                    <xdr:colOff>371475</xdr:colOff>
                    <xdr:row>56</xdr:row>
                    <xdr:rowOff>19050</xdr:rowOff>
                  </to>
                </anchor>
              </controlPr>
            </control>
          </mc:Choice>
        </mc:AlternateContent>
        <mc:AlternateContent xmlns:mc="http://schemas.openxmlformats.org/markup-compatibility/2006">
          <mc:Choice Requires="x14">
            <control shapeId="1149" r:id="rId52" name="Check Box 125">
              <controlPr locked="0" defaultSize="0" autoFill="0" autoLine="0" autoPict="0">
                <anchor moveWithCells="1">
                  <from>
                    <xdr:col>7</xdr:col>
                    <xdr:colOff>66675</xdr:colOff>
                    <xdr:row>56</xdr:row>
                    <xdr:rowOff>0</xdr:rowOff>
                  </from>
                  <to>
                    <xdr:col>7</xdr:col>
                    <xdr:colOff>371475</xdr:colOff>
                    <xdr:row>57</xdr:row>
                    <xdr:rowOff>19050</xdr:rowOff>
                  </to>
                </anchor>
              </controlPr>
            </control>
          </mc:Choice>
        </mc:AlternateContent>
        <mc:AlternateContent xmlns:mc="http://schemas.openxmlformats.org/markup-compatibility/2006">
          <mc:Choice Requires="x14">
            <control shapeId="1151" r:id="rId53" name="Check Box 127">
              <controlPr locked="0" defaultSize="0" autoFill="0" autoLine="0" autoPict="0">
                <anchor moveWithCells="1">
                  <from>
                    <xdr:col>7</xdr:col>
                    <xdr:colOff>66675</xdr:colOff>
                    <xdr:row>57</xdr:row>
                    <xdr:rowOff>0</xdr:rowOff>
                  </from>
                  <to>
                    <xdr:col>7</xdr:col>
                    <xdr:colOff>371475</xdr:colOff>
                    <xdr:row>58</xdr:row>
                    <xdr:rowOff>19050</xdr:rowOff>
                  </to>
                </anchor>
              </controlPr>
            </control>
          </mc:Choice>
        </mc:AlternateContent>
        <mc:AlternateContent xmlns:mc="http://schemas.openxmlformats.org/markup-compatibility/2006">
          <mc:Choice Requires="x14">
            <control shapeId="1153" r:id="rId54" name="Check Box 129">
              <controlPr locked="0" defaultSize="0" autoFill="0" autoLine="0" autoPict="0">
                <anchor moveWithCells="1">
                  <from>
                    <xdr:col>7</xdr:col>
                    <xdr:colOff>66675</xdr:colOff>
                    <xdr:row>58</xdr:row>
                    <xdr:rowOff>0</xdr:rowOff>
                  </from>
                  <to>
                    <xdr:col>7</xdr:col>
                    <xdr:colOff>371475</xdr:colOff>
                    <xdr:row>59</xdr:row>
                    <xdr:rowOff>19050</xdr:rowOff>
                  </to>
                </anchor>
              </controlPr>
            </control>
          </mc:Choice>
        </mc:AlternateContent>
        <mc:AlternateContent xmlns:mc="http://schemas.openxmlformats.org/markup-compatibility/2006">
          <mc:Choice Requires="x14">
            <control shapeId="1155" r:id="rId55" name="Check Box 131">
              <controlPr locked="0" defaultSize="0" autoFill="0" autoLine="0" autoPict="0">
                <anchor moveWithCells="1">
                  <from>
                    <xdr:col>7</xdr:col>
                    <xdr:colOff>66675</xdr:colOff>
                    <xdr:row>59</xdr:row>
                    <xdr:rowOff>0</xdr:rowOff>
                  </from>
                  <to>
                    <xdr:col>7</xdr:col>
                    <xdr:colOff>371475</xdr:colOff>
                    <xdr:row>60</xdr:row>
                    <xdr:rowOff>19050</xdr:rowOff>
                  </to>
                </anchor>
              </controlPr>
            </control>
          </mc:Choice>
        </mc:AlternateContent>
        <mc:AlternateContent xmlns:mc="http://schemas.openxmlformats.org/markup-compatibility/2006">
          <mc:Choice Requires="x14">
            <control shapeId="1157" r:id="rId56" name="Check Box 133">
              <controlPr locked="0" defaultSize="0" autoFill="0" autoLine="0" autoPict="0">
                <anchor moveWithCells="1">
                  <from>
                    <xdr:col>7</xdr:col>
                    <xdr:colOff>66675</xdr:colOff>
                    <xdr:row>60</xdr:row>
                    <xdr:rowOff>0</xdr:rowOff>
                  </from>
                  <to>
                    <xdr:col>7</xdr:col>
                    <xdr:colOff>371475</xdr:colOff>
                    <xdr:row>61</xdr:row>
                    <xdr:rowOff>19050</xdr:rowOff>
                  </to>
                </anchor>
              </controlPr>
            </control>
          </mc:Choice>
        </mc:AlternateContent>
        <mc:AlternateContent xmlns:mc="http://schemas.openxmlformats.org/markup-compatibility/2006">
          <mc:Choice Requires="x14">
            <control shapeId="1159" r:id="rId57" name="Check Box 135">
              <controlPr locked="0" defaultSize="0" autoFill="0" autoLine="0" autoPict="0">
                <anchor moveWithCells="1">
                  <from>
                    <xdr:col>7</xdr:col>
                    <xdr:colOff>66675</xdr:colOff>
                    <xdr:row>61</xdr:row>
                    <xdr:rowOff>0</xdr:rowOff>
                  </from>
                  <to>
                    <xdr:col>7</xdr:col>
                    <xdr:colOff>371475</xdr:colOff>
                    <xdr:row>62</xdr:row>
                    <xdr:rowOff>19050</xdr:rowOff>
                  </to>
                </anchor>
              </controlPr>
            </control>
          </mc:Choice>
        </mc:AlternateContent>
        <mc:AlternateContent xmlns:mc="http://schemas.openxmlformats.org/markup-compatibility/2006">
          <mc:Choice Requires="x14">
            <control shapeId="1161" r:id="rId58" name="Check Box 137">
              <controlPr locked="0" defaultSize="0" autoFill="0" autoLine="0" autoPict="0">
                <anchor moveWithCells="1">
                  <from>
                    <xdr:col>7</xdr:col>
                    <xdr:colOff>66675</xdr:colOff>
                    <xdr:row>62</xdr:row>
                    <xdr:rowOff>0</xdr:rowOff>
                  </from>
                  <to>
                    <xdr:col>7</xdr:col>
                    <xdr:colOff>371475</xdr:colOff>
                    <xdr:row>63</xdr:row>
                    <xdr:rowOff>19050</xdr:rowOff>
                  </to>
                </anchor>
              </controlPr>
            </control>
          </mc:Choice>
        </mc:AlternateContent>
        <mc:AlternateContent xmlns:mc="http://schemas.openxmlformats.org/markup-compatibility/2006">
          <mc:Choice Requires="x14">
            <control shapeId="1163" r:id="rId59" name="Check Box 139">
              <controlPr locked="0" defaultSize="0" autoFill="0" autoLine="0" autoPict="0">
                <anchor moveWithCells="1">
                  <from>
                    <xdr:col>7</xdr:col>
                    <xdr:colOff>66675</xdr:colOff>
                    <xdr:row>63</xdr:row>
                    <xdr:rowOff>0</xdr:rowOff>
                  </from>
                  <to>
                    <xdr:col>7</xdr:col>
                    <xdr:colOff>371475</xdr:colOff>
                    <xdr:row>64</xdr:row>
                    <xdr:rowOff>19050</xdr:rowOff>
                  </to>
                </anchor>
              </controlPr>
            </control>
          </mc:Choice>
        </mc:AlternateContent>
        <mc:AlternateContent xmlns:mc="http://schemas.openxmlformats.org/markup-compatibility/2006">
          <mc:Choice Requires="x14">
            <control shapeId="1165" r:id="rId60" name="Check Box 141">
              <controlPr locked="0" defaultSize="0" autoFill="0" autoLine="0" autoPict="0">
                <anchor moveWithCells="1">
                  <from>
                    <xdr:col>7</xdr:col>
                    <xdr:colOff>66675</xdr:colOff>
                    <xdr:row>63</xdr:row>
                    <xdr:rowOff>180975</xdr:rowOff>
                  </from>
                  <to>
                    <xdr:col>7</xdr:col>
                    <xdr:colOff>371475</xdr:colOff>
                    <xdr:row>65</xdr:row>
                    <xdr:rowOff>0</xdr:rowOff>
                  </to>
                </anchor>
              </controlPr>
            </control>
          </mc:Choice>
        </mc:AlternateContent>
        <mc:AlternateContent xmlns:mc="http://schemas.openxmlformats.org/markup-compatibility/2006">
          <mc:Choice Requires="x14">
            <control shapeId="1167" r:id="rId61" name="Check Box 143">
              <controlPr locked="0" defaultSize="0" autoFill="0" autoLine="0" autoPict="0">
                <anchor moveWithCells="1">
                  <from>
                    <xdr:col>7</xdr:col>
                    <xdr:colOff>66675</xdr:colOff>
                    <xdr:row>64</xdr:row>
                    <xdr:rowOff>180975</xdr:rowOff>
                  </from>
                  <to>
                    <xdr:col>7</xdr:col>
                    <xdr:colOff>371475</xdr:colOff>
                    <xdr:row>66</xdr:row>
                    <xdr:rowOff>0</xdr:rowOff>
                  </to>
                </anchor>
              </controlPr>
            </control>
          </mc:Choice>
        </mc:AlternateContent>
        <mc:AlternateContent xmlns:mc="http://schemas.openxmlformats.org/markup-compatibility/2006">
          <mc:Choice Requires="x14">
            <control shapeId="1169" r:id="rId62" name="Check Box 145">
              <controlPr locked="0" defaultSize="0" autoFill="0" autoLine="0" autoPict="0">
                <anchor moveWithCells="1">
                  <from>
                    <xdr:col>7</xdr:col>
                    <xdr:colOff>66675</xdr:colOff>
                    <xdr:row>65</xdr:row>
                    <xdr:rowOff>180975</xdr:rowOff>
                  </from>
                  <to>
                    <xdr:col>7</xdr:col>
                    <xdr:colOff>371475</xdr:colOff>
                    <xdr:row>67</xdr:row>
                    <xdr:rowOff>0</xdr:rowOff>
                  </to>
                </anchor>
              </controlPr>
            </control>
          </mc:Choice>
        </mc:AlternateContent>
        <mc:AlternateContent xmlns:mc="http://schemas.openxmlformats.org/markup-compatibility/2006">
          <mc:Choice Requires="x14">
            <control shapeId="1171" r:id="rId63" name="Check Box 147">
              <controlPr locked="0" defaultSize="0" autoFill="0" autoLine="0" autoPict="0">
                <anchor moveWithCells="1">
                  <from>
                    <xdr:col>7</xdr:col>
                    <xdr:colOff>66675</xdr:colOff>
                    <xdr:row>66</xdr:row>
                    <xdr:rowOff>180975</xdr:rowOff>
                  </from>
                  <to>
                    <xdr:col>7</xdr:col>
                    <xdr:colOff>371475</xdr:colOff>
                    <xdr:row>68</xdr:row>
                    <xdr:rowOff>0</xdr:rowOff>
                  </to>
                </anchor>
              </controlPr>
            </control>
          </mc:Choice>
        </mc:AlternateContent>
        <mc:AlternateContent xmlns:mc="http://schemas.openxmlformats.org/markup-compatibility/2006">
          <mc:Choice Requires="x14">
            <control shapeId="1173" r:id="rId64" name="Check Box 149">
              <controlPr locked="0" defaultSize="0" autoFill="0" autoLine="0" autoPict="0">
                <anchor moveWithCells="1">
                  <from>
                    <xdr:col>7</xdr:col>
                    <xdr:colOff>66675</xdr:colOff>
                    <xdr:row>67</xdr:row>
                    <xdr:rowOff>180975</xdr:rowOff>
                  </from>
                  <to>
                    <xdr:col>7</xdr:col>
                    <xdr:colOff>371475</xdr:colOff>
                    <xdr:row>69</xdr:row>
                    <xdr:rowOff>0</xdr:rowOff>
                  </to>
                </anchor>
              </controlPr>
            </control>
          </mc:Choice>
        </mc:AlternateContent>
        <mc:AlternateContent xmlns:mc="http://schemas.openxmlformats.org/markup-compatibility/2006">
          <mc:Choice Requires="x14">
            <control shapeId="1175" r:id="rId65" name="Check Box 151">
              <controlPr locked="0" defaultSize="0" autoFill="0" autoLine="0" autoPict="0">
                <anchor moveWithCells="1">
                  <from>
                    <xdr:col>7</xdr:col>
                    <xdr:colOff>66675</xdr:colOff>
                    <xdr:row>68</xdr:row>
                    <xdr:rowOff>180975</xdr:rowOff>
                  </from>
                  <to>
                    <xdr:col>7</xdr:col>
                    <xdr:colOff>371475</xdr:colOff>
                    <xdr:row>70</xdr:row>
                    <xdr:rowOff>0</xdr:rowOff>
                  </to>
                </anchor>
              </controlPr>
            </control>
          </mc:Choice>
        </mc:AlternateContent>
        <mc:AlternateContent xmlns:mc="http://schemas.openxmlformats.org/markup-compatibility/2006">
          <mc:Choice Requires="x14">
            <control shapeId="1177" r:id="rId66" name="Check Box 153">
              <controlPr locked="0" defaultSize="0" autoFill="0" autoLine="0" autoPict="0">
                <anchor moveWithCells="1">
                  <from>
                    <xdr:col>7</xdr:col>
                    <xdr:colOff>66675</xdr:colOff>
                    <xdr:row>69</xdr:row>
                    <xdr:rowOff>180975</xdr:rowOff>
                  </from>
                  <to>
                    <xdr:col>7</xdr:col>
                    <xdr:colOff>371475</xdr:colOff>
                    <xdr:row>71</xdr:row>
                    <xdr:rowOff>0</xdr:rowOff>
                  </to>
                </anchor>
              </controlPr>
            </control>
          </mc:Choice>
        </mc:AlternateContent>
        <mc:AlternateContent xmlns:mc="http://schemas.openxmlformats.org/markup-compatibility/2006">
          <mc:Choice Requires="x14">
            <control shapeId="1179" r:id="rId67" name="Check Box 155">
              <controlPr locked="0" defaultSize="0" autoFill="0" autoLine="0" autoPict="0">
                <anchor moveWithCells="1">
                  <from>
                    <xdr:col>7</xdr:col>
                    <xdr:colOff>66675</xdr:colOff>
                    <xdr:row>70</xdr:row>
                    <xdr:rowOff>180975</xdr:rowOff>
                  </from>
                  <to>
                    <xdr:col>7</xdr:col>
                    <xdr:colOff>371475</xdr:colOff>
                    <xdr:row>72</xdr:row>
                    <xdr:rowOff>0</xdr:rowOff>
                  </to>
                </anchor>
              </controlPr>
            </control>
          </mc:Choice>
        </mc:AlternateContent>
        <mc:AlternateContent xmlns:mc="http://schemas.openxmlformats.org/markup-compatibility/2006">
          <mc:Choice Requires="x14">
            <control shapeId="1181" r:id="rId68" name="Check Box 157">
              <controlPr locked="0" defaultSize="0" autoFill="0" autoLine="0" autoPict="0">
                <anchor moveWithCells="1">
                  <from>
                    <xdr:col>7</xdr:col>
                    <xdr:colOff>66675</xdr:colOff>
                    <xdr:row>71</xdr:row>
                    <xdr:rowOff>180975</xdr:rowOff>
                  </from>
                  <to>
                    <xdr:col>7</xdr:col>
                    <xdr:colOff>371475</xdr:colOff>
                    <xdr:row>73</xdr:row>
                    <xdr:rowOff>0</xdr:rowOff>
                  </to>
                </anchor>
              </controlPr>
            </control>
          </mc:Choice>
        </mc:AlternateContent>
        <mc:AlternateContent xmlns:mc="http://schemas.openxmlformats.org/markup-compatibility/2006">
          <mc:Choice Requires="x14">
            <control shapeId="1183" r:id="rId69" name="Check Box 159">
              <controlPr locked="0" defaultSize="0" autoFill="0" autoLine="0" autoPict="0">
                <anchor moveWithCells="1">
                  <from>
                    <xdr:col>7</xdr:col>
                    <xdr:colOff>66675</xdr:colOff>
                    <xdr:row>72</xdr:row>
                    <xdr:rowOff>180975</xdr:rowOff>
                  </from>
                  <to>
                    <xdr:col>7</xdr:col>
                    <xdr:colOff>371475</xdr:colOff>
                    <xdr:row>74</xdr:row>
                    <xdr:rowOff>38100</xdr:rowOff>
                  </to>
                </anchor>
              </controlPr>
            </control>
          </mc:Choice>
        </mc:AlternateContent>
        <mc:AlternateContent xmlns:mc="http://schemas.openxmlformats.org/markup-compatibility/2006">
          <mc:Choice Requires="x14">
            <control shapeId="1185" r:id="rId70" name="Check Box 161">
              <controlPr locked="0" defaultSize="0" autoFill="0" autoLine="0" autoPict="0">
                <anchor moveWithCells="1">
                  <from>
                    <xdr:col>7</xdr:col>
                    <xdr:colOff>66675</xdr:colOff>
                    <xdr:row>73</xdr:row>
                    <xdr:rowOff>180975</xdr:rowOff>
                  </from>
                  <to>
                    <xdr:col>7</xdr:col>
                    <xdr:colOff>371475</xdr:colOff>
                    <xdr:row>75</xdr:row>
                    <xdr:rowOff>0</xdr:rowOff>
                  </to>
                </anchor>
              </controlPr>
            </control>
          </mc:Choice>
        </mc:AlternateContent>
        <mc:AlternateContent xmlns:mc="http://schemas.openxmlformats.org/markup-compatibility/2006">
          <mc:Choice Requires="x14">
            <control shapeId="1187" r:id="rId71" name="Check Box 163">
              <controlPr locked="0" defaultSize="0" autoFill="0" autoLine="0" autoPict="0">
                <anchor moveWithCells="1">
                  <from>
                    <xdr:col>7</xdr:col>
                    <xdr:colOff>66675</xdr:colOff>
                    <xdr:row>74</xdr:row>
                    <xdr:rowOff>180975</xdr:rowOff>
                  </from>
                  <to>
                    <xdr:col>7</xdr:col>
                    <xdr:colOff>371475</xdr:colOff>
                    <xdr:row>76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71"/>
  <sheetViews>
    <sheetView topLeftCell="A9" workbookViewId="0">
      <selection activeCell="A71" sqref="A71"/>
    </sheetView>
  </sheetViews>
  <sheetFormatPr baseColWidth="10" defaultRowHeight="15" x14ac:dyDescent="0.25"/>
  <cols>
    <col min="1" max="1" width="27" customWidth="1"/>
    <col min="2" max="2" width="7.7109375" customWidth="1"/>
    <col min="3" max="3" width="4.7109375" customWidth="1"/>
    <col min="4" max="4" width="7.42578125" style="3" customWidth="1"/>
    <col min="5" max="5" width="30.28515625" customWidth="1"/>
    <col min="6" max="6" width="13.42578125" customWidth="1"/>
    <col min="7" max="7" width="10.140625" style="1" customWidth="1"/>
    <col min="8" max="8" width="9" style="1" customWidth="1"/>
    <col min="9" max="9" width="9.28515625" style="1" customWidth="1"/>
    <col min="10" max="10" width="9.85546875" style="1" customWidth="1"/>
    <col min="12" max="12" width="0" hidden="1" customWidth="1"/>
  </cols>
  <sheetData>
    <row r="1" spans="1:12" x14ac:dyDescent="0.25">
      <c r="A1" t="s">
        <v>3</v>
      </c>
      <c r="B1" t="s">
        <v>0</v>
      </c>
      <c r="D1" s="3" t="s">
        <v>4</v>
      </c>
      <c r="E1" t="s">
        <v>14</v>
      </c>
      <c r="F1" t="s">
        <v>13</v>
      </c>
      <c r="G1" s="1" t="s">
        <v>22</v>
      </c>
      <c r="H1" s="1" t="s">
        <v>23</v>
      </c>
      <c r="I1" s="1" t="s">
        <v>24</v>
      </c>
      <c r="J1" s="1" t="s">
        <v>25</v>
      </c>
      <c r="K1" s="1" t="s">
        <v>68</v>
      </c>
    </row>
    <row r="2" spans="1:12" x14ac:dyDescent="0.25">
      <c r="A2" t="s">
        <v>40</v>
      </c>
      <c r="B2">
        <v>0</v>
      </c>
      <c r="C2">
        <f>Plan!J8</f>
        <v>0</v>
      </c>
      <c r="D2" s="3">
        <v>0</v>
      </c>
      <c r="E2" t="s">
        <v>41</v>
      </c>
      <c r="F2">
        <v>0</v>
      </c>
      <c r="G2" s="1">
        <v>0</v>
      </c>
      <c r="H2" s="1">
        <v>0</v>
      </c>
      <c r="I2" s="1">
        <v>0</v>
      </c>
      <c r="J2" s="1">
        <v>0</v>
      </c>
      <c r="K2">
        <f>B2</f>
        <v>0</v>
      </c>
    </row>
    <row r="3" spans="1:12" x14ac:dyDescent="0.25">
      <c r="A3" t="s">
        <v>8</v>
      </c>
      <c r="B3">
        <v>33.200000000000003</v>
      </c>
      <c r="C3">
        <f>Plan!J9</f>
        <v>1</v>
      </c>
      <c r="D3" s="3">
        <v>704</v>
      </c>
      <c r="E3" t="s">
        <v>18</v>
      </c>
      <c r="F3" t="s">
        <v>19</v>
      </c>
      <c r="G3" s="1">
        <f>B3/Plan!B$2</f>
        <v>9.4857142857142858</v>
      </c>
      <c r="H3" s="1">
        <f>(D3/300)*Plan!B$4</f>
        <v>1.76</v>
      </c>
      <c r="I3" s="1">
        <f>H3+G3</f>
        <v>11.245714285714286</v>
      </c>
      <c r="J3" s="1">
        <f>I3/Plan!B$3</f>
        <v>1.1245714285714286</v>
      </c>
      <c r="K3">
        <f>SUM(B$2:B3)</f>
        <v>33.200000000000003</v>
      </c>
      <c r="L3" s="2">
        <f>I3</f>
        <v>11.245714285714286</v>
      </c>
    </row>
    <row r="4" spans="1:12" x14ac:dyDescent="0.25">
      <c r="A4" t="s">
        <v>9</v>
      </c>
      <c r="B4">
        <v>8.6999999999999993</v>
      </c>
      <c r="C4">
        <f>Plan!J10</f>
        <v>1</v>
      </c>
      <c r="D4" s="3">
        <v>59</v>
      </c>
      <c r="E4" t="s">
        <v>1</v>
      </c>
      <c r="G4" s="1">
        <f>B4/Plan!B$2</f>
        <v>2.4857142857142853</v>
      </c>
      <c r="H4" s="1">
        <f>(D4/300)*Plan!B$4</f>
        <v>0.14749999999999999</v>
      </c>
      <c r="I4" s="1">
        <f t="shared" ref="I4:I7" si="0">H4+G4</f>
        <v>2.6332142857142853</v>
      </c>
      <c r="J4" s="1">
        <f>I4/Plan!B$3</f>
        <v>0.26332142857142854</v>
      </c>
      <c r="K4">
        <f>SUM(B$2:B4)</f>
        <v>41.900000000000006</v>
      </c>
      <c r="L4" s="2">
        <f t="shared" ref="L4:L7" si="1">I4</f>
        <v>2.6332142857142853</v>
      </c>
    </row>
    <row r="5" spans="1:12" x14ac:dyDescent="0.25">
      <c r="A5" t="s">
        <v>10</v>
      </c>
      <c r="B5">
        <v>26.2</v>
      </c>
      <c r="C5">
        <f>Plan!J11</f>
        <v>1</v>
      </c>
      <c r="D5" s="3">
        <v>934</v>
      </c>
      <c r="E5" t="s">
        <v>20</v>
      </c>
      <c r="F5" t="s">
        <v>21</v>
      </c>
      <c r="G5" s="1">
        <f>B5/Plan!B$2</f>
        <v>7.4857142857142858</v>
      </c>
      <c r="H5" s="1">
        <f>(D5/300)*Plan!B$4</f>
        <v>2.335</v>
      </c>
      <c r="I5" s="1">
        <f t="shared" si="0"/>
        <v>9.8207142857142848</v>
      </c>
      <c r="J5" s="1">
        <f>I5/Plan!B$3</f>
        <v>0.98207142857142848</v>
      </c>
      <c r="K5">
        <f>SUM(B$2:B5)</f>
        <v>68.100000000000009</v>
      </c>
      <c r="L5" s="2">
        <f t="shared" si="1"/>
        <v>9.8207142857142848</v>
      </c>
    </row>
    <row r="6" spans="1:12" x14ac:dyDescent="0.25">
      <c r="A6" t="s">
        <v>12</v>
      </c>
      <c r="B6">
        <v>56.8</v>
      </c>
      <c r="C6">
        <f>Plan!J12</f>
        <v>2</v>
      </c>
      <c r="D6" s="3">
        <v>285</v>
      </c>
      <c r="E6" t="s">
        <v>2</v>
      </c>
      <c r="F6" t="s">
        <v>17</v>
      </c>
      <c r="G6" s="1">
        <f>B6/Plan!B$2</f>
        <v>16.228571428571428</v>
      </c>
      <c r="H6" s="1">
        <f>(D6/300)*Plan!B$4</f>
        <v>0.71249999999999991</v>
      </c>
      <c r="I6" s="1">
        <f t="shared" si="0"/>
        <v>16.941071428571426</v>
      </c>
      <c r="J6" s="1">
        <f>I6/Plan!B$3</f>
        <v>1.6941071428571426</v>
      </c>
      <c r="K6">
        <f>SUM(B$2:B6)</f>
        <v>124.9</v>
      </c>
      <c r="L6" s="2">
        <f t="shared" si="1"/>
        <v>16.941071428571426</v>
      </c>
    </row>
    <row r="7" spans="1:12" x14ac:dyDescent="0.25">
      <c r="A7" t="s">
        <v>11</v>
      </c>
      <c r="B7">
        <v>51.5</v>
      </c>
      <c r="C7">
        <f>Plan!J13</f>
        <v>2</v>
      </c>
      <c r="D7" s="3">
        <v>803</v>
      </c>
      <c r="E7" t="s">
        <v>16</v>
      </c>
      <c r="F7" t="s">
        <v>15</v>
      </c>
      <c r="G7" s="1">
        <f>B7/Plan!B$2</f>
        <v>14.714285714285714</v>
      </c>
      <c r="H7" s="1">
        <f>(D7/300)*Plan!B$4</f>
        <v>2.0075000000000003</v>
      </c>
      <c r="I7" s="1">
        <f t="shared" si="0"/>
        <v>16.721785714285716</v>
      </c>
      <c r="J7" s="1">
        <f>I7/Plan!B$3</f>
        <v>1.6721785714285715</v>
      </c>
      <c r="K7">
        <f>SUM(B$2:B7)</f>
        <v>176.4</v>
      </c>
      <c r="L7" s="2">
        <f t="shared" si="1"/>
        <v>16.721785714285716</v>
      </c>
    </row>
    <row r="8" spans="1:12" x14ac:dyDescent="0.25">
      <c r="A8" t="s">
        <v>56</v>
      </c>
      <c r="B8">
        <v>67.099999999999994</v>
      </c>
      <c r="C8">
        <f>Plan!J14</f>
        <v>3</v>
      </c>
      <c r="D8" s="3">
        <v>1504</v>
      </c>
      <c r="E8" t="s">
        <v>57</v>
      </c>
      <c r="F8" t="s">
        <v>58</v>
      </c>
      <c r="G8" s="1">
        <f>B8/Plan!B$2</f>
        <v>19.171428571428571</v>
      </c>
      <c r="H8" s="1">
        <f>(D8/300)*Plan!B$4</f>
        <v>3.7600000000000002</v>
      </c>
      <c r="I8" s="1">
        <f t="shared" ref="I8:I26" si="2">H8+G8</f>
        <v>22.931428571428572</v>
      </c>
      <c r="J8" s="1">
        <f>I8/Plan!B$3</f>
        <v>2.2931428571428571</v>
      </c>
      <c r="K8">
        <f>SUM(B$2:B8)</f>
        <v>243.5</v>
      </c>
    </row>
    <row r="9" spans="1:12" x14ac:dyDescent="0.25">
      <c r="A9" t="s">
        <v>59</v>
      </c>
      <c r="B9">
        <v>44</v>
      </c>
      <c r="C9">
        <f>Plan!J15</f>
        <v>4</v>
      </c>
      <c r="D9" s="3">
        <v>1608</v>
      </c>
      <c r="E9" t="s">
        <v>60</v>
      </c>
      <c r="F9" t="s">
        <v>61</v>
      </c>
      <c r="G9" s="1">
        <f>B9/Plan!B$2</f>
        <v>12.571428571428571</v>
      </c>
      <c r="H9" s="1">
        <f>(D9/300)*Plan!B$4</f>
        <v>4.0200000000000005</v>
      </c>
      <c r="I9" s="1">
        <f t="shared" si="2"/>
        <v>16.591428571428573</v>
      </c>
      <c r="J9" s="1">
        <f>I9/Plan!B$3</f>
        <v>1.6591428571428573</v>
      </c>
      <c r="K9">
        <f>SUM(B$2:B9)</f>
        <v>287.5</v>
      </c>
    </row>
    <row r="10" spans="1:12" x14ac:dyDescent="0.25">
      <c r="A10" t="s">
        <v>62</v>
      </c>
      <c r="B10">
        <v>49.9</v>
      </c>
      <c r="C10">
        <f>Plan!J16</f>
        <v>4</v>
      </c>
      <c r="D10" s="3">
        <v>567</v>
      </c>
      <c r="E10" t="s">
        <v>63</v>
      </c>
      <c r="F10" t="s">
        <v>64</v>
      </c>
      <c r="G10" s="1">
        <f>B10/Plan!B$2</f>
        <v>14.257142857142856</v>
      </c>
      <c r="H10" s="1">
        <f>(D10/300)*Plan!B$4</f>
        <v>1.4175</v>
      </c>
      <c r="I10" s="1">
        <f t="shared" si="2"/>
        <v>15.674642857142857</v>
      </c>
      <c r="J10" s="1">
        <f>I10/Plan!B$3</f>
        <v>1.5674642857142858</v>
      </c>
      <c r="K10">
        <f>SUM(B$2:B10)</f>
        <v>337.4</v>
      </c>
    </row>
    <row r="11" spans="1:12" x14ac:dyDescent="0.25">
      <c r="A11" t="s">
        <v>65</v>
      </c>
      <c r="B11">
        <v>103.8</v>
      </c>
      <c r="C11">
        <f>Plan!J17</f>
        <v>5</v>
      </c>
      <c r="D11" s="3">
        <v>3184</v>
      </c>
      <c r="E11" t="s">
        <v>66</v>
      </c>
      <c r="F11" t="s">
        <v>67</v>
      </c>
      <c r="G11" s="1">
        <f>B11/Plan!B$2</f>
        <v>29.657142857142855</v>
      </c>
      <c r="H11" s="1">
        <f>(D11/300)*Plan!B$4</f>
        <v>7.96</v>
      </c>
      <c r="I11" s="1">
        <f t="shared" si="2"/>
        <v>37.617142857142852</v>
      </c>
      <c r="J11" s="1">
        <f>I11/Plan!B$3</f>
        <v>3.7617142857142851</v>
      </c>
      <c r="K11">
        <f>SUM(B$2:B11)</f>
        <v>441.2</v>
      </c>
    </row>
    <row r="12" spans="1:12" x14ac:dyDescent="0.25">
      <c r="A12" t="s">
        <v>71</v>
      </c>
      <c r="B12">
        <v>62.8</v>
      </c>
      <c r="C12">
        <f>Plan!J18</f>
        <v>5</v>
      </c>
      <c r="D12" s="3">
        <v>268</v>
      </c>
      <c r="E12" t="s">
        <v>69</v>
      </c>
      <c r="G12" s="1">
        <f>B12/Plan!B$2</f>
        <v>17.942857142857143</v>
      </c>
      <c r="H12" s="1">
        <f>(D12/300)*Plan!B$4</f>
        <v>0.66999999999999993</v>
      </c>
      <c r="I12" s="1">
        <f t="shared" si="2"/>
        <v>18.612857142857145</v>
      </c>
      <c r="J12" s="1">
        <f>I12/Plan!B$3</f>
        <v>1.8612857142857144</v>
      </c>
      <c r="K12">
        <f>SUM(B$2:B12)</f>
        <v>504</v>
      </c>
    </row>
    <row r="13" spans="1:12" x14ac:dyDescent="0.25">
      <c r="A13" t="s">
        <v>72</v>
      </c>
      <c r="B13">
        <v>25</v>
      </c>
      <c r="C13">
        <f>Plan!J19</f>
        <v>6</v>
      </c>
      <c r="D13" s="3">
        <v>261</v>
      </c>
      <c r="E13" t="s">
        <v>70</v>
      </c>
      <c r="G13" s="1">
        <f>B13/Plan!B$2</f>
        <v>7.1428571428571432</v>
      </c>
      <c r="H13" s="1">
        <f>(D13/300)*Plan!B$4</f>
        <v>0.65249999999999997</v>
      </c>
      <c r="I13" s="1">
        <f t="shared" si="2"/>
        <v>7.7953571428571431</v>
      </c>
      <c r="J13" s="1">
        <f>I13/Plan!B$3</f>
        <v>0.77953571428571433</v>
      </c>
      <c r="K13">
        <f>SUM(B$2:B13)</f>
        <v>529</v>
      </c>
    </row>
    <row r="14" spans="1:12" x14ac:dyDescent="0.25">
      <c r="A14" t="s">
        <v>73</v>
      </c>
      <c r="B14">
        <v>21.7</v>
      </c>
      <c r="C14">
        <f>Plan!J20</f>
        <v>6</v>
      </c>
      <c r="D14" s="3">
        <v>316</v>
      </c>
      <c r="E14" t="s">
        <v>74</v>
      </c>
      <c r="F14" t="s">
        <v>75</v>
      </c>
      <c r="G14" s="1">
        <f>B14/Plan!B$2</f>
        <v>6.2</v>
      </c>
      <c r="H14" s="1">
        <f>(D14/300)*Plan!B$4</f>
        <v>0.78999999999999992</v>
      </c>
      <c r="I14" s="1">
        <f t="shared" si="2"/>
        <v>6.99</v>
      </c>
      <c r="J14" s="1">
        <f>I14/Plan!B$3</f>
        <v>0.69900000000000007</v>
      </c>
      <c r="K14">
        <f>SUM(B$2:B14)</f>
        <v>550.70000000000005</v>
      </c>
    </row>
    <row r="15" spans="1:12" x14ac:dyDescent="0.25">
      <c r="A15" t="s">
        <v>76</v>
      </c>
      <c r="B15">
        <v>34.6</v>
      </c>
      <c r="C15">
        <f>Plan!J21</f>
        <v>6</v>
      </c>
      <c r="D15" s="3">
        <v>1622</v>
      </c>
      <c r="E15" t="s">
        <v>77</v>
      </c>
      <c r="F15" t="s">
        <v>78</v>
      </c>
      <c r="G15" s="1">
        <f>B15/Plan!B$2</f>
        <v>9.8857142857142861</v>
      </c>
      <c r="H15" s="1">
        <f>(D15/300)*Plan!B$4</f>
        <v>4.0549999999999997</v>
      </c>
      <c r="I15" s="1">
        <f t="shared" si="2"/>
        <v>13.940714285714286</v>
      </c>
      <c r="J15" s="1">
        <f>I15/Plan!B$3</f>
        <v>1.3940714285714286</v>
      </c>
      <c r="K15">
        <f>SUM(B$2:B15)</f>
        <v>585.30000000000007</v>
      </c>
    </row>
    <row r="16" spans="1:12" x14ac:dyDescent="0.25">
      <c r="A16" t="s">
        <v>79</v>
      </c>
      <c r="B16">
        <v>129.80000000000001</v>
      </c>
      <c r="C16">
        <f>Plan!J22</f>
        <v>7</v>
      </c>
      <c r="D16" s="3">
        <v>2814</v>
      </c>
      <c r="E16" t="s">
        <v>80</v>
      </c>
      <c r="F16" t="s">
        <v>81</v>
      </c>
      <c r="G16" s="1">
        <f>B16/Plan!B$2</f>
        <v>37.085714285714289</v>
      </c>
      <c r="H16" s="1">
        <f>(D16/300)*Plan!B$4</f>
        <v>7.0350000000000001</v>
      </c>
      <c r="I16" s="1">
        <f t="shared" si="2"/>
        <v>44.120714285714286</v>
      </c>
      <c r="J16" s="1">
        <f>I16/Plan!B$3</f>
        <v>4.4120714285714282</v>
      </c>
      <c r="K16">
        <f>SUM(B$2:B16)</f>
        <v>715.10000000000014</v>
      </c>
    </row>
    <row r="17" spans="1:11" x14ac:dyDescent="0.25">
      <c r="A17" t="s">
        <v>82</v>
      </c>
      <c r="B17">
        <v>16.399999999999999</v>
      </c>
      <c r="C17">
        <f>Plan!J23</f>
        <v>7</v>
      </c>
      <c r="D17" s="3">
        <v>421</v>
      </c>
      <c r="F17" t="s">
        <v>83</v>
      </c>
      <c r="G17" s="1">
        <f>B17/Plan!B$2</f>
        <v>4.6857142857142851</v>
      </c>
      <c r="H17" s="1">
        <f>(D17/300)*Plan!B$4</f>
        <v>1.0525</v>
      </c>
      <c r="I17" s="1">
        <f t="shared" si="2"/>
        <v>5.7382142857142853</v>
      </c>
      <c r="J17" s="1">
        <f>I17/Plan!B$3</f>
        <v>0.57382142857142848</v>
      </c>
      <c r="K17">
        <f>SUM(B$2:B17)</f>
        <v>731.50000000000011</v>
      </c>
    </row>
    <row r="18" spans="1:11" x14ac:dyDescent="0.25">
      <c r="A18" t="s">
        <v>84</v>
      </c>
      <c r="B18">
        <v>39</v>
      </c>
      <c r="C18">
        <f>Plan!J24</f>
        <v>7</v>
      </c>
      <c r="D18" s="3">
        <v>951</v>
      </c>
      <c r="E18" t="s">
        <v>85</v>
      </c>
      <c r="F18" t="s">
        <v>86</v>
      </c>
      <c r="G18" s="1">
        <f>B18/Plan!B$2</f>
        <v>11.142857142857142</v>
      </c>
      <c r="H18" s="1">
        <f>(D18/300)*Plan!B$4</f>
        <v>2.3774999999999999</v>
      </c>
      <c r="I18" s="1">
        <f t="shared" si="2"/>
        <v>13.520357142857142</v>
      </c>
      <c r="J18" s="1">
        <f>I18/Plan!B$3</f>
        <v>1.3520357142857142</v>
      </c>
      <c r="K18">
        <f>SUM(B$2:B18)</f>
        <v>770.50000000000011</v>
      </c>
    </row>
    <row r="19" spans="1:11" x14ac:dyDescent="0.25">
      <c r="A19" t="s">
        <v>87</v>
      </c>
      <c r="B19">
        <v>64.099999999999994</v>
      </c>
      <c r="C19">
        <f>Plan!J25</f>
        <v>8</v>
      </c>
      <c r="D19" s="3">
        <v>1355</v>
      </c>
      <c r="E19" t="s">
        <v>70</v>
      </c>
      <c r="F19" t="s">
        <v>21</v>
      </c>
      <c r="G19" s="1">
        <f>B19/Plan!B$2</f>
        <v>18.314285714285713</v>
      </c>
      <c r="H19" s="1">
        <f>(D19/300)*Plan!B$4</f>
        <v>3.3875000000000002</v>
      </c>
      <c r="I19" s="1">
        <f t="shared" si="2"/>
        <v>21.701785714285712</v>
      </c>
      <c r="J19" s="1">
        <f>I19/Plan!B$3</f>
        <v>2.1701785714285711</v>
      </c>
      <c r="K19">
        <f>SUM(B$2:B19)</f>
        <v>834.60000000000014</v>
      </c>
    </row>
    <row r="20" spans="1:11" x14ac:dyDescent="0.25">
      <c r="A20" t="s">
        <v>88</v>
      </c>
      <c r="B20">
        <v>64.2</v>
      </c>
      <c r="C20">
        <f>Plan!J26</f>
        <v>8</v>
      </c>
      <c r="D20" s="3">
        <v>1177</v>
      </c>
      <c r="E20" t="s">
        <v>89</v>
      </c>
      <c r="F20" t="s">
        <v>90</v>
      </c>
      <c r="G20" s="1">
        <f>B20/Plan!B$2</f>
        <v>18.342857142857145</v>
      </c>
      <c r="H20" s="1">
        <f>(D20/300)*Plan!B$4</f>
        <v>2.9424999999999999</v>
      </c>
      <c r="I20" s="1">
        <f t="shared" si="2"/>
        <v>21.285357142857144</v>
      </c>
      <c r="J20" s="1">
        <f>I20/Plan!B$3</f>
        <v>2.1285357142857144</v>
      </c>
      <c r="K20">
        <f>SUM(B$2:B20)</f>
        <v>898.80000000000018</v>
      </c>
    </row>
    <row r="21" spans="1:11" x14ac:dyDescent="0.25">
      <c r="A21" t="s">
        <v>91</v>
      </c>
      <c r="B21">
        <v>150.9</v>
      </c>
      <c r="C21">
        <f>Plan!J27</f>
        <v>9</v>
      </c>
      <c r="D21" s="3">
        <v>2756</v>
      </c>
      <c r="E21" t="s">
        <v>92</v>
      </c>
      <c r="F21" t="s">
        <v>93</v>
      </c>
      <c r="G21" s="1">
        <f>B21/Plan!B$2</f>
        <v>43.114285714285714</v>
      </c>
      <c r="H21" s="1">
        <f>(D21/300)*Plan!B$4</f>
        <v>6.8900000000000006</v>
      </c>
      <c r="I21" s="1">
        <f t="shared" si="2"/>
        <v>50.004285714285714</v>
      </c>
      <c r="J21" s="1">
        <f>I21/Plan!B$3</f>
        <v>5.0004285714285714</v>
      </c>
      <c r="K21">
        <f>SUM(B$2:B21)</f>
        <v>1049.7000000000003</v>
      </c>
    </row>
    <row r="22" spans="1:11" x14ac:dyDescent="0.25">
      <c r="A22" t="s">
        <v>94</v>
      </c>
      <c r="B22">
        <v>81.8</v>
      </c>
      <c r="C22">
        <f>Plan!J28</f>
        <v>10</v>
      </c>
      <c r="D22" s="3">
        <v>2124</v>
      </c>
      <c r="E22" t="s">
        <v>95</v>
      </c>
      <c r="F22" t="s">
        <v>96</v>
      </c>
      <c r="G22" s="1">
        <f>B22/Plan!B$2</f>
        <v>23.37142857142857</v>
      </c>
      <c r="H22" s="1">
        <f>(D22/300)*Plan!B$4</f>
        <v>5.3100000000000005</v>
      </c>
      <c r="I22" s="1">
        <f t="shared" si="2"/>
        <v>28.681428571428569</v>
      </c>
      <c r="J22" s="1">
        <f>I22/Plan!B$3</f>
        <v>2.8681428571428569</v>
      </c>
      <c r="K22">
        <f>SUM(B$2:B22)</f>
        <v>1131.5000000000002</v>
      </c>
    </row>
    <row r="23" spans="1:11" x14ac:dyDescent="0.25">
      <c r="A23" t="s">
        <v>97</v>
      </c>
      <c r="B23">
        <v>67.599999999999994</v>
      </c>
      <c r="C23">
        <f>Plan!J29</f>
        <v>10</v>
      </c>
      <c r="D23" s="3">
        <v>2290</v>
      </c>
      <c r="E23" t="s">
        <v>98</v>
      </c>
      <c r="F23" t="s">
        <v>99</v>
      </c>
      <c r="G23" s="1">
        <f>B23/Plan!B$2</f>
        <v>19.314285714285713</v>
      </c>
      <c r="H23" s="1">
        <f>(D23/300)*Plan!B$4</f>
        <v>5.7250000000000005</v>
      </c>
      <c r="I23" s="1">
        <f t="shared" si="2"/>
        <v>25.039285714285715</v>
      </c>
      <c r="J23" s="1">
        <f>I23/Plan!B$3</f>
        <v>2.5039285714285713</v>
      </c>
      <c r="K23">
        <f>SUM(B$2:B23)</f>
        <v>1199.1000000000001</v>
      </c>
    </row>
    <row r="24" spans="1:11" x14ac:dyDescent="0.25">
      <c r="A24" t="s">
        <v>100</v>
      </c>
      <c r="B24">
        <v>73.099999999999994</v>
      </c>
      <c r="C24">
        <f>Plan!J30</f>
        <v>10</v>
      </c>
      <c r="D24" s="3">
        <v>2065</v>
      </c>
      <c r="E24" t="s">
        <v>101</v>
      </c>
      <c r="F24" t="s">
        <v>102</v>
      </c>
      <c r="G24" s="1">
        <f>B24/Plan!B$2</f>
        <v>20.885714285714283</v>
      </c>
      <c r="H24" s="1">
        <f>(D24/300)*Plan!B$4</f>
        <v>5.1625000000000005</v>
      </c>
      <c r="I24" s="1">
        <f t="shared" si="2"/>
        <v>26.048214285714284</v>
      </c>
      <c r="J24" s="1">
        <f>I24/Plan!B$3</f>
        <v>2.6048214285714284</v>
      </c>
      <c r="K24">
        <f>SUM(B$2:B24)</f>
        <v>1272.2</v>
      </c>
    </row>
    <row r="25" spans="1:11" x14ac:dyDescent="0.25">
      <c r="A25" t="s">
        <v>103</v>
      </c>
      <c r="B25">
        <v>106.3</v>
      </c>
      <c r="C25">
        <f>Plan!J31</f>
        <v>11</v>
      </c>
      <c r="D25" s="3">
        <v>3335</v>
      </c>
      <c r="E25" t="s">
        <v>104</v>
      </c>
      <c r="F25" t="s">
        <v>105</v>
      </c>
      <c r="G25" s="1">
        <f>B25/Plan!B$2</f>
        <v>30.37142857142857</v>
      </c>
      <c r="H25" s="1">
        <f>(D25/300)*Plan!B$4</f>
        <v>8.3375000000000004</v>
      </c>
      <c r="I25" s="1">
        <f t="shared" si="2"/>
        <v>38.708928571428572</v>
      </c>
      <c r="J25" s="1">
        <f>I25/Plan!B$3</f>
        <v>3.8708928571428571</v>
      </c>
      <c r="K25">
        <f>SUM(B$2:B25)</f>
        <v>1378.5</v>
      </c>
    </row>
    <row r="26" spans="1:11" x14ac:dyDescent="0.25">
      <c r="A26" t="s">
        <v>106</v>
      </c>
      <c r="B26">
        <v>33.799999999999997</v>
      </c>
      <c r="C26">
        <f>Plan!J32</f>
        <v>11</v>
      </c>
      <c r="D26" s="3">
        <v>1204</v>
      </c>
      <c r="E26" t="s">
        <v>107</v>
      </c>
      <c r="F26" t="s">
        <v>108</v>
      </c>
      <c r="G26" s="1">
        <f>B26/Plan!B$2</f>
        <v>9.6571428571428566</v>
      </c>
      <c r="H26" s="1">
        <f>(D26/300)*Plan!B$4</f>
        <v>3.0100000000000002</v>
      </c>
      <c r="I26" s="1">
        <f t="shared" si="2"/>
        <v>12.667142857142856</v>
      </c>
      <c r="J26" s="1">
        <f>I26/Plan!B$3</f>
        <v>1.2667142857142857</v>
      </c>
      <c r="K26">
        <f>SUM(B$2:B26)</f>
        <v>1412.3</v>
      </c>
    </row>
    <row r="27" spans="1:11" x14ac:dyDescent="0.25">
      <c r="A27" t="s">
        <v>117</v>
      </c>
      <c r="B27">
        <v>47.3</v>
      </c>
      <c r="C27">
        <f>Plan!J33</f>
        <v>12</v>
      </c>
      <c r="D27" s="3">
        <v>1367</v>
      </c>
      <c r="E27" t="s">
        <v>115</v>
      </c>
      <c r="F27" t="s">
        <v>116</v>
      </c>
      <c r="G27" s="1">
        <f>B27/Plan!B$2</f>
        <v>13.514285714285714</v>
      </c>
      <c r="H27" s="1">
        <f>(D27/300)*Plan!B$4</f>
        <v>3.4175</v>
      </c>
      <c r="I27" s="1">
        <f t="shared" ref="I27:I70" si="3">H27+G27</f>
        <v>16.931785714285713</v>
      </c>
      <c r="J27" s="1">
        <f>I27/Plan!B$3</f>
        <v>1.6931785714285712</v>
      </c>
      <c r="K27">
        <f>SUM(B$2:B27)</f>
        <v>1459.6</v>
      </c>
    </row>
    <row r="28" spans="1:11" x14ac:dyDescent="0.25">
      <c r="A28" t="s">
        <v>118</v>
      </c>
      <c r="B28">
        <v>58.1</v>
      </c>
      <c r="C28">
        <f>Plan!J34</f>
        <v>13</v>
      </c>
      <c r="D28" s="3">
        <v>1410</v>
      </c>
      <c r="E28" t="s">
        <v>119</v>
      </c>
      <c r="F28" t="s">
        <v>120</v>
      </c>
      <c r="G28" s="1">
        <f>B28/Plan!B$2</f>
        <v>16.600000000000001</v>
      </c>
      <c r="H28" s="1">
        <f>(D28/300)*Plan!B$4</f>
        <v>3.5250000000000004</v>
      </c>
      <c r="I28" s="1">
        <f t="shared" si="3"/>
        <v>20.125</v>
      </c>
      <c r="J28" s="1">
        <f>I28/Plan!B$3</f>
        <v>2.0125000000000002</v>
      </c>
      <c r="K28">
        <f>SUM(B$2:B28)</f>
        <v>1517.6999999999998</v>
      </c>
    </row>
    <row r="29" spans="1:11" x14ac:dyDescent="0.25">
      <c r="A29" t="s">
        <v>121</v>
      </c>
      <c r="B29">
        <v>121.7</v>
      </c>
      <c r="C29">
        <f>Plan!J35</f>
        <v>13</v>
      </c>
      <c r="D29" s="3">
        <v>3734</v>
      </c>
      <c r="E29" t="s">
        <v>122</v>
      </c>
      <c r="F29" t="s">
        <v>123</v>
      </c>
      <c r="G29" s="1">
        <f>B29/Plan!B$2</f>
        <v>34.771428571428572</v>
      </c>
      <c r="H29" s="1">
        <f>(D29/300)*Plan!B$4</f>
        <v>9.3350000000000009</v>
      </c>
      <c r="I29" s="1">
        <f t="shared" si="3"/>
        <v>44.106428571428573</v>
      </c>
      <c r="J29" s="1">
        <f>I29/Plan!B$3</f>
        <v>4.4106428571428573</v>
      </c>
      <c r="K29">
        <f>SUM(B$2:B29)</f>
        <v>1639.3999999999999</v>
      </c>
    </row>
    <row r="30" spans="1:11" x14ac:dyDescent="0.25">
      <c r="A30" t="s">
        <v>124</v>
      </c>
      <c r="B30">
        <v>50.9</v>
      </c>
      <c r="C30">
        <f>Plan!J36</f>
        <v>14</v>
      </c>
      <c r="D30" s="3">
        <v>1183</v>
      </c>
      <c r="E30" t="s">
        <v>125</v>
      </c>
      <c r="F30" t="s">
        <v>126</v>
      </c>
      <c r="G30" s="1">
        <f>B30/Plan!B$2</f>
        <v>14.542857142857143</v>
      </c>
      <c r="H30" s="1">
        <f>(D30/300)*Plan!B$4</f>
        <v>2.9575</v>
      </c>
      <c r="I30" s="1">
        <f t="shared" si="3"/>
        <v>17.500357142857144</v>
      </c>
      <c r="J30" s="1">
        <f>I30/Plan!B$3</f>
        <v>1.7500357142857144</v>
      </c>
      <c r="K30">
        <f>SUM(B$2:B30)</f>
        <v>1690.3</v>
      </c>
    </row>
    <row r="31" spans="1:11" x14ac:dyDescent="0.25">
      <c r="A31" t="s">
        <v>127</v>
      </c>
      <c r="B31">
        <v>69.400000000000006</v>
      </c>
      <c r="C31">
        <f>Plan!J37</f>
        <v>14</v>
      </c>
      <c r="D31" s="3">
        <v>1058</v>
      </c>
      <c r="E31" t="s">
        <v>128</v>
      </c>
      <c r="F31" t="s">
        <v>17</v>
      </c>
      <c r="G31" s="1">
        <f>B31/Plan!B$2</f>
        <v>19.828571428571429</v>
      </c>
      <c r="H31" s="1">
        <f>(D31/300)*Plan!B$4</f>
        <v>2.645</v>
      </c>
      <c r="I31" s="1">
        <f t="shared" si="3"/>
        <v>22.473571428571429</v>
      </c>
      <c r="J31" s="1">
        <f>I31/Plan!B$3</f>
        <v>2.2473571428571431</v>
      </c>
      <c r="K31">
        <f>SUM(B$2:B31)</f>
        <v>1759.7</v>
      </c>
    </row>
    <row r="32" spans="1:11" x14ac:dyDescent="0.25">
      <c r="A32" t="s">
        <v>129</v>
      </c>
      <c r="B32">
        <v>101.1</v>
      </c>
      <c r="C32">
        <f>Plan!J38</f>
        <v>15</v>
      </c>
      <c r="D32" s="3">
        <v>2454</v>
      </c>
      <c r="E32" t="s">
        <v>130</v>
      </c>
      <c r="F32" t="s">
        <v>17</v>
      </c>
      <c r="G32" s="1">
        <f>B32/Plan!B$2</f>
        <v>28.885714285714283</v>
      </c>
      <c r="H32" s="1">
        <f>(D32/300)*Plan!B$4</f>
        <v>6.1349999999999998</v>
      </c>
      <c r="I32" s="1">
        <f t="shared" si="3"/>
        <v>35.020714285714284</v>
      </c>
      <c r="J32" s="1">
        <f>I32/Plan!B$3</f>
        <v>3.5020714285714285</v>
      </c>
      <c r="K32">
        <f>SUM(B$2:B32)</f>
        <v>1860.8</v>
      </c>
    </row>
    <row r="33" spans="1:11" x14ac:dyDescent="0.25">
      <c r="A33" t="s">
        <v>134</v>
      </c>
      <c r="B33">
        <v>67.3</v>
      </c>
      <c r="C33">
        <f>Plan!J39</f>
        <v>15</v>
      </c>
      <c r="D33" s="3">
        <v>963</v>
      </c>
      <c r="E33" t="s">
        <v>131</v>
      </c>
      <c r="F33" t="s">
        <v>132</v>
      </c>
      <c r="G33" s="1">
        <f>B33/Plan!B$2</f>
        <v>19.228571428571428</v>
      </c>
      <c r="H33" s="1">
        <f>(D33/300)*Plan!B$4</f>
        <v>2.4074999999999998</v>
      </c>
      <c r="I33" s="1">
        <f t="shared" si="3"/>
        <v>21.636071428571427</v>
      </c>
      <c r="J33" s="1">
        <f>I33/Plan!B$3</f>
        <v>2.1636071428571428</v>
      </c>
      <c r="K33">
        <f>SUM(B$2:B33)</f>
        <v>1928.1</v>
      </c>
    </row>
    <row r="34" spans="1:11" x14ac:dyDescent="0.25">
      <c r="A34" t="s">
        <v>133</v>
      </c>
      <c r="B34">
        <v>116.9</v>
      </c>
      <c r="C34">
        <f>Plan!J40</f>
        <v>16</v>
      </c>
      <c r="D34" s="3">
        <v>2864</v>
      </c>
      <c r="E34" t="s">
        <v>135</v>
      </c>
      <c r="F34" t="s">
        <v>17</v>
      </c>
      <c r="G34" s="1">
        <f>B34/Plan!B$2</f>
        <v>33.4</v>
      </c>
      <c r="H34" s="1">
        <f>(D34/300)*Plan!B$4</f>
        <v>7.16</v>
      </c>
      <c r="I34" s="1">
        <f t="shared" si="3"/>
        <v>40.56</v>
      </c>
      <c r="J34" s="1">
        <f>I34/Plan!B$3</f>
        <v>4.056</v>
      </c>
      <c r="K34">
        <f>SUM(B$2:B34)</f>
        <v>2045</v>
      </c>
    </row>
    <row r="35" spans="1:11" x14ac:dyDescent="0.25">
      <c r="A35" t="s">
        <v>136</v>
      </c>
      <c r="B35">
        <v>30.6</v>
      </c>
      <c r="C35">
        <f>Plan!J41</f>
        <v>17</v>
      </c>
      <c r="D35" s="3">
        <v>451</v>
      </c>
      <c r="E35" t="s">
        <v>137</v>
      </c>
      <c r="F35" t="s">
        <v>83</v>
      </c>
      <c r="G35" s="1">
        <f>B35/Plan!B$2</f>
        <v>8.7428571428571438</v>
      </c>
      <c r="H35" s="1">
        <f>(D35/300)*Plan!B$4</f>
        <v>1.1274999999999999</v>
      </c>
      <c r="I35" s="1">
        <f t="shared" si="3"/>
        <v>9.8703571428571433</v>
      </c>
      <c r="J35" s="1">
        <f>I35/Plan!B$3</f>
        <v>0.98703571428571435</v>
      </c>
      <c r="K35">
        <f>SUM(B$2:B35)</f>
        <v>2075.6</v>
      </c>
    </row>
    <row r="36" spans="1:11" x14ac:dyDescent="0.25">
      <c r="A36" t="s">
        <v>138</v>
      </c>
      <c r="B36">
        <v>75.099999999999994</v>
      </c>
      <c r="C36">
        <f>Plan!J42</f>
        <v>17</v>
      </c>
      <c r="D36" s="3">
        <v>2111</v>
      </c>
      <c r="E36" t="s">
        <v>139</v>
      </c>
      <c r="F36" t="s">
        <v>140</v>
      </c>
      <c r="G36" s="1">
        <f>B36/Plan!B$2</f>
        <v>21.457142857142856</v>
      </c>
      <c r="H36" s="1">
        <f>(D36/300)*Plan!B$4</f>
        <v>5.2774999999999999</v>
      </c>
      <c r="I36" s="1">
        <f t="shared" si="3"/>
        <v>26.734642857142855</v>
      </c>
      <c r="J36" s="1">
        <f>I36/Plan!B$3</f>
        <v>2.6734642857142856</v>
      </c>
      <c r="K36">
        <f>SUM(B$2:B36)</f>
        <v>2150.6999999999998</v>
      </c>
    </row>
    <row r="37" spans="1:11" x14ac:dyDescent="0.25">
      <c r="A37" t="s">
        <v>141</v>
      </c>
      <c r="B37">
        <v>28.2</v>
      </c>
      <c r="C37">
        <f>Plan!J43</f>
        <v>17</v>
      </c>
      <c r="D37" s="3">
        <v>652</v>
      </c>
      <c r="E37" t="s">
        <v>137</v>
      </c>
      <c r="F37" t="s">
        <v>83</v>
      </c>
      <c r="G37" s="1">
        <f>B37/Plan!B$2</f>
        <v>8.0571428571428569</v>
      </c>
      <c r="H37" s="1">
        <f>(D37/300)*Plan!B$4</f>
        <v>1.63</v>
      </c>
      <c r="I37" s="1">
        <f t="shared" si="3"/>
        <v>9.6871428571428559</v>
      </c>
      <c r="J37" s="1">
        <f>I37/Plan!B$3</f>
        <v>0.96871428571428564</v>
      </c>
      <c r="K37">
        <f>SUM(B$2:B37)</f>
        <v>2178.8999999999996</v>
      </c>
    </row>
    <row r="38" spans="1:11" x14ac:dyDescent="0.25">
      <c r="A38" t="s">
        <v>142</v>
      </c>
      <c r="B38">
        <v>39.299999999999997</v>
      </c>
      <c r="C38">
        <f>Plan!J44</f>
        <v>17</v>
      </c>
      <c r="D38" s="3">
        <v>386</v>
      </c>
      <c r="E38" t="s">
        <v>143</v>
      </c>
      <c r="F38" t="s">
        <v>144</v>
      </c>
      <c r="G38" s="1">
        <f>B38/Plan!B$2</f>
        <v>11.228571428571428</v>
      </c>
      <c r="H38" s="1">
        <f>(D38/300)*Plan!B$4</f>
        <v>0.96499999999999997</v>
      </c>
      <c r="I38" s="1">
        <f t="shared" si="3"/>
        <v>12.193571428571428</v>
      </c>
      <c r="J38" s="1">
        <f>I38/Plan!B$3</f>
        <v>1.2193571428571428</v>
      </c>
      <c r="K38">
        <f>SUM(B$2:B38)</f>
        <v>2218.1999999999998</v>
      </c>
    </row>
    <row r="39" spans="1:11" x14ac:dyDescent="0.25">
      <c r="A39" t="s">
        <v>145</v>
      </c>
      <c r="B39">
        <v>61.5</v>
      </c>
      <c r="C39">
        <f>Plan!J45</f>
        <v>18</v>
      </c>
      <c r="D39" s="3">
        <v>440</v>
      </c>
      <c r="E39" t="s">
        <v>146</v>
      </c>
      <c r="F39" t="s">
        <v>147</v>
      </c>
      <c r="G39" s="1">
        <f>B39/Plan!B$2</f>
        <v>17.571428571428573</v>
      </c>
      <c r="H39" s="1">
        <f>(D39/300)*Plan!B$4</f>
        <v>1.0999999999999999</v>
      </c>
      <c r="I39" s="1">
        <f t="shared" si="3"/>
        <v>18.671428571428574</v>
      </c>
      <c r="J39" s="1">
        <f>I39/Plan!B$3</f>
        <v>1.8671428571428574</v>
      </c>
      <c r="K39">
        <f>SUM(B$2:B39)</f>
        <v>2279.6999999999998</v>
      </c>
    </row>
    <row r="40" spans="1:11" x14ac:dyDescent="0.25">
      <c r="A40" t="s">
        <v>148</v>
      </c>
      <c r="B40">
        <v>12.4</v>
      </c>
      <c r="C40">
        <f>Plan!J46</f>
        <v>18</v>
      </c>
      <c r="D40" s="3">
        <v>5</v>
      </c>
      <c r="E40" t="s">
        <v>137</v>
      </c>
      <c r="F40" t="s">
        <v>21</v>
      </c>
      <c r="G40" s="1">
        <f>B40/Plan!B$2</f>
        <v>3.5428571428571431</v>
      </c>
      <c r="H40" s="1">
        <f>(D40/300)*Plan!B$4</f>
        <v>1.2500000000000001E-2</v>
      </c>
      <c r="I40" s="1">
        <f t="shared" si="3"/>
        <v>3.5553571428571433</v>
      </c>
      <c r="J40" s="1">
        <f>I40/Plan!B$3</f>
        <v>0.35553571428571434</v>
      </c>
      <c r="K40">
        <f>SUM(B$2:B40)</f>
        <v>2292.1</v>
      </c>
    </row>
    <row r="41" spans="1:11" x14ac:dyDescent="0.25">
      <c r="A41" t="s">
        <v>150</v>
      </c>
      <c r="B41">
        <v>133.5</v>
      </c>
      <c r="C41">
        <f>Plan!J47</f>
        <v>19</v>
      </c>
      <c r="D41" s="3">
        <v>2438</v>
      </c>
      <c r="E41" t="s">
        <v>149</v>
      </c>
      <c r="F41" t="s">
        <v>86</v>
      </c>
      <c r="G41" s="1">
        <f>B41/Plan!B$2</f>
        <v>38.142857142857146</v>
      </c>
      <c r="H41" s="1">
        <f>(D41/300)*Plan!B$4</f>
        <v>6.0950000000000006</v>
      </c>
      <c r="I41" s="1">
        <f t="shared" si="3"/>
        <v>44.237857142857145</v>
      </c>
      <c r="J41" s="1">
        <f>I41/Plan!B$3</f>
        <v>4.4237857142857147</v>
      </c>
      <c r="K41">
        <f>SUM(B$2:B41)</f>
        <v>2425.6</v>
      </c>
    </row>
    <row r="42" spans="1:11" x14ac:dyDescent="0.25">
      <c r="A42" t="s">
        <v>152</v>
      </c>
      <c r="B42">
        <v>96.1</v>
      </c>
      <c r="C42">
        <f>Plan!J48</f>
        <v>19</v>
      </c>
      <c r="D42" s="3">
        <v>1992</v>
      </c>
      <c r="E42" t="s">
        <v>151</v>
      </c>
      <c r="G42" s="1">
        <f>B42/Plan!B$2</f>
        <v>27.457142857142856</v>
      </c>
      <c r="H42" s="1">
        <f>(D42/300)*Plan!B$4</f>
        <v>4.9799999999999995</v>
      </c>
      <c r="I42" s="1">
        <f t="shared" si="3"/>
        <v>32.437142857142852</v>
      </c>
      <c r="J42" s="1">
        <f>I42/Plan!B$3</f>
        <v>3.2437142857142853</v>
      </c>
      <c r="K42">
        <f>SUM(B$2:B42)</f>
        <v>2521.6999999999998</v>
      </c>
    </row>
    <row r="43" spans="1:11" x14ac:dyDescent="0.25">
      <c r="A43" t="s">
        <v>154</v>
      </c>
      <c r="B43">
        <v>32</v>
      </c>
      <c r="C43">
        <f>Plan!J49</f>
        <v>20</v>
      </c>
      <c r="D43" s="3">
        <v>914</v>
      </c>
      <c r="E43" t="s">
        <v>153</v>
      </c>
      <c r="G43" s="1">
        <f>B43/Plan!B$2</f>
        <v>9.1428571428571423</v>
      </c>
      <c r="H43" s="1">
        <f>(D43/300)*Plan!B$4</f>
        <v>2.2850000000000001</v>
      </c>
      <c r="I43" s="1">
        <f t="shared" si="3"/>
        <v>11.427857142857142</v>
      </c>
      <c r="J43" s="1">
        <f>I43/Plan!B$3</f>
        <v>1.1427857142857143</v>
      </c>
      <c r="K43">
        <f>SUM(B$2:B43)</f>
        <v>2553.6999999999998</v>
      </c>
    </row>
    <row r="44" spans="1:11" x14ac:dyDescent="0.25">
      <c r="A44" t="s">
        <v>155</v>
      </c>
      <c r="B44">
        <v>35.5</v>
      </c>
      <c r="C44">
        <f>Plan!J50</f>
        <v>20</v>
      </c>
      <c r="D44" s="3">
        <v>491</v>
      </c>
      <c r="E44" t="s">
        <v>156</v>
      </c>
      <c r="F44" t="s">
        <v>157</v>
      </c>
      <c r="G44" s="1">
        <f>B44/Plan!B$2</f>
        <v>10.142857142857142</v>
      </c>
      <c r="H44" s="1">
        <f>(D44/300)*Plan!B$4</f>
        <v>1.2275</v>
      </c>
      <c r="I44" s="1">
        <f t="shared" si="3"/>
        <v>11.370357142857141</v>
      </c>
      <c r="J44" s="1">
        <f>I44/Plan!B$3</f>
        <v>1.1370357142857141</v>
      </c>
      <c r="K44">
        <f>SUM(B$2:B44)</f>
        <v>2589.1999999999998</v>
      </c>
    </row>
    <row r="45" spans="1:11" x14ac:dyDescent="0.25">
      <c r="A45" t="s">
        <v>158</v>
      </c>
      <c r="B45">
        <v>89.9</v>
      </c>
      <c r="C45">
        <f>Plan!J51</f>
        <v>21</v>
      </c>
      <c r="D45" s="3">
        <v>1270</v>
      </c>
      <c r="E45" t="s">
        <v>137</v>
      </c>
      <c r="F45" t="s">
        <v>21</v>
      </c>
      <c r="G45" s="1">
        <f>B45/Plan!B$2</f>
        <v>25.685714285714287</v>
      </c>
      <c r="H45" s="1">
        <f>(D45/300)*Plan!B$4</f>
        <v>3.1749999999999998</v>
      </c>
      <c r="I45" s="1">
        <f t="shared" si="3"/>
        <v>28.860714285714288</v>
      </c>
      <c r="J45" s="1">
        <f>I45/Plan!B$3</f>
        <v>2.8860714285714288</v>
      </c>
      <c r="K45">
        <f>SUM(B$2:B45)</f>
        <v>2679.1</v>
      </c>
    </row>
    <row r="46" spans="1:11" x14ac:dyDescent="0.25">
      <c r="A46" t="s">
        <v>160</v>
      </c>
      <c r="B46">
        <v>103.9</v>
      </c>
      <c r="C46">
        <f>Plan!J52</f>
        <v>21</v>
      </c>
      <c r="D46" s="3">
        <v>3049</v>
      </c>
      <c r="E46" t="s">
        <v>149</v>
      </c>
      <c r="F46" t="s">
        <v>159</v>
      </c>
      <c r="G46" s="1">
        <f>B46/Plan!B$2</f>
        <v>29.685714285714287</v>
      </c>
      <c r="H46" s="1">
        <f>(D46/300)*Plan!B$4</f>
        <v>7.6225000000000005</v>
      </c>
      <c r="I46" s="1">
        <f t="shared" si="3"/>
        <v>37.308214285714286</v>
      </c>
      <c r="J46" s="1">
        <f>I46/Plan!B$3</f>
        <v>3.7308214285714287</v>
      </c>
      <c r="K46">
        <f>SUM(B$2:B46)</f>
        <v>2783</v>
      </c>
    </row>
    <row r="47" spans="1:11" x14ac:dyDescent="0.25">
      <c r="A47" t="s">
        <v>161</v>
      </c>
      <c r="B47">
        <v>38</v>
      </c>
      <c r="C47">
        <f>Plan!J53</f>
        <v>22</v>
      </c>
      <c r="D47" s="3">
        <v>807</v>
      </c>
      <c r="E47" t="s">
        <v>162</v>
      </c>
      <c r="F47" t="s">
        <v>163</v>
      </c>
      <c r="G47" s="1">
        <f>B47/Plan!B$2</f>
        <v>10.857142857142858</v>
      </c>
      <c r="H47" s="1">
        <f>(D47/300)*Plan!B$4</f>
        <v>2.0175000000000001</v>
      </c>
      <c r="I47" s="1">
        <f t="shared" si="3"/>
        <v>12.874642857142858</v>
      </c>
      <c r="J47" s="1">
        <f>I47/Plan!B$3</f>
        <v>1.2874642857142857</v>
      </c>
      <c r="K47">
        <f>SUM(B$2:B47)</f>
        <v>2821</v>
      </c>
    </row>
    <row r="48" spans="1:11" x14ac:dyDescent="0.25">
      <c r="A48" t="s">
        <v>164</v>
      </c>
      <c r="B48">
        <v>48.9</v>
      </c>
      <c r="C48">
        <f>Plan!J54</f>
        <v>22</v>
      </c>
      <c r="D48" s="3">
        <v>710</v>
      </c>
      <c r="E48" t="s">
        <v>165</v>
      </c>
      <c r="G48" s="1">
        <f>B48/Plan!B$2</f>
        <v>13.971428571428572</v>
      </c>
      <c r="H48" s="1">
        <f>(D48/300)*Plan!B$4</f>
        <v>1.7749999999999999</v>
      </c>
      <c r="I48" s="1">
        <f t="shared" si="3"/>
        <v>15.746428571428572</v>
      </c>
      <c r="J48" s="1">
        <f>I48/Plan!B$3</f>
        <v>1.5746428571428572</v>
      </c>
      <c r="K48">
        <f>SUM(B$2:B48)</f>
        <v>2869.9</v>
      </c>
    </row>
    <row r="49" spans="1:11" x14ac:dyDescent="0.25">
      <c r="A49" t="s">
        <v>167</v>
      </c>
      <c r="B49">
        <v>80.2</v>
      </c>
      <c r="C49">
        <f>Plan!J55</f>
        <v>22</v>
      </c>
      <c r="D49" s="3">
        <v>1352</v>
      </c>
      <c r="E49" t="s">
        <v>166</v>
      </c>
      <c r="F49" t="s">
        <v>86</v>
      </c>
      <c r="G49" s="1">
        <f>B49/Plan!B$2</f>
        <v>22.914285714285715</v>
      </c>
      <c r="H49" s="1">
        <f>(D49/300)*Plan!B$4</f>
        <v>3.38</v>
      </c>
      <c r="I49" s="1">
        <f t="shared" si="3"/>
        <v>26.294285714285714</v>
      </c>
      <c r="J49" s="1">
        <f>I49/Plan!B$3</f>
        <v>2.6294285714285714</v>
      </c>
      <c r="K49">
        <f>SUM(B$2:B49)</f>
        <v>2950.1</v>
      </c>
    </row>
    <row r="50" spans="1:11" x14ac:dyDescent="0.25">
      <c r="A50" t="s">
        <v>168</v>
      </c>
      <c r="B50">
        <v>35.6</v>
      </c>
      <c r="C50">
        <f>Plan!J56</f>
        <v>23</v>
      </c>
      <c r="D50" s="3">
        <v>583</v>
      </c>
      <c r="E50" t="s">
        <v>70</v>
      </c>
      <c r="G50" s="1">
        <f>B50/Plan!B$2</f>
        <v>10.171428571428573</v>
      </c>
      <c r="H50" s="1">
        <f>(D50/300)*Plan!B$4</f>
        <v>1.4575</v>
      </c>
      <c r="I50" s="1">
        <f t="shared" si="3"/>
        <v>11.628928571428572</v>
      </c>
      <c r="J50" s="1">
        <f>I50/Plan!B$3</f>
        <v>1.1628928571428572</v>
      </c>
      <c r="K50">
        <f>SUM(B$2:B50)</f>
        <v>2985.7</v>
      </c>
    </row>
    <row r="51" spans="1:11" x14ac:dyDescent="0.25">
      <c r="A51" t="s">
        <v>169</v>
      </c>
      <c r="B51">
        <v>48.9</v>
      </c>
      <c r="C51">
        <f>Plan!J57</f>
        <v>23</v>
      </c>
      <c r="D51" s="3">
        <v>857</v>
      </c>
      <c r="E51" t="s">
        <v>170</v>
      </c>
      <c r="G51" s="1">
        <f>B51/Plan!B$2</f>
        <v>13.971428571428572</v>
      </c>
      <c r="H51" s="1">
        <f>(D51/300)*Plan!B$4</f>
        <v>2.1425000000000001</v>
      </c>
      <c r="I51" s="1">
        <f t="shared" si="3"/>
        <v>16.113928571428573</v>
      </c>
      <c r="J51" s="1">
        <f>I51/Plan!B$3</f>
        <v>1.6113928571428573</v>
      </c>
      <c r="K51">
        <f>SUM(B$2:B51)</f>
        <v>3034.6</v>
      </c>
    </row>
    <row r="52" spans="1:11" x14ac:dyDescent="0.25">
      <c r="A52" t="s">
        <v>171</v>
      </c>
      <c r="B52">
        <v>47.2</v>
      </c>
      <c r="C52">
        <f>Plan!J58</f>
        <v>23</v>
      </c>
      <c r="D52" s="3">
        <v>695</v>
      </c>
      <c r="E52" t="s">
        <v>172</v>
      </c>
      <c r="F52" t="s">
        <v>173</v>
      </c>
      <c r="G52" s="1">
        <f>B52/Plan!B$2</f>
        <v>13.485714285714286</v>
      </c>
      <c r="H52" s="1">
        <f>(D52/300)*Plan!B$4</f>
        <v>1.7375000000000003</v>
      </c>
      <c r="I52" s="1">
        <f t="shared" si="3"/>
        <v>15.223214285714286</v>
      </c>
      <c r="J52" s="1">
        <f>I52/Plan!B$3</f>
        <v>1.5223214285714286</v>
      </c>
      <c r="K52">
        <f>SUM(B$2:B52)</f>
        <v>3081.7999999999997</v>
      </c>
    </row>
    <row r="53" spans="1:11" x14ac:dyDescent="0.25">
      <c r="A53" t="s">
        <v>174</v>
      </c>
      <c r="B53">
        <v>74.2</v>
      </c>
      <c r="C53">
        <f>Plan!J59</f>
        <v>24</v>
      </c>
      <c r="D53" s="3">
        <v>1067</v>
      </c>
      <c r="E53" t="s">
        <v>175</v>
      </c>
      <c r="F53" t="s">
        <v>176</v>
      </c>
      <c r="G53" s="1">
        <f>B53/Plan!B$2</f>
        <v>21.2</v>
      </c>
      <c r="H53" s="1">
        <f>(D53/300)*Plan!B$4</f>
        <v>2.6675</v>
      </c>
      <c r="I53" s="1">
        <f t="shared" si="3"/>
        <v>23.8675</v>
      </c>
      <c r="J53" s="1">
        <f>I53/Plan!B$3</f>
        <v>2.3867500000000001</v>
      </c>
      <c r="K53">
        <f>SUM(B$2:B53)</f>
        <v>3155.9999999999995</v>
      </c>
    </row>
    <row r="54" spans="1:11" x14ac:dyDescent="0.25">
      <c r="A54" t="s">
        <v>177</v>
      </c>
      <c r="B54">
        <v>50.2</v>
      </c>
      <c r="C54">
        <f>Plan!J60</f>
        <v>24</v>
      </c>
      <c r="D54" s="3">
        <v>719</v>
      </c>
      <c r="E54" t="s">
        <v>178</v>
      </c>
      <c r="F54" t="s">
        <v>179</v>
      </c>
      <c r="G54" s="1">
        <f>B54/Plan!B$2</f>
        <v>14.342857142857143</v>
      </c>
      <c r="H54" s="1">
        <f>(D54/300)*Plan!B$4</f>
        <v>1.7974999999999999</v>
      </c>
      <c r="I54" s="1">
        <f t="shared" si="3"/>
        <v>16.140357142857145</v>
      </c>
      <c r="J54" s="1">
        <f>I54/Plan!B$3</f>
        <v>1.6140357142857145</v>
      </c>
      <c r="K54">
        <f>SUM(B$2:B54)</f>
        <v>3206.1999999999994</v>
      </c>
    </row>
    <row r="55" spans="1:11" x14ac:dyDescent="0.25">
      <c r="A55" t="s">
        <v>180</v>
      </c>
      <c r="B55">
        <v>18.399999999999999</v>
      </c>
      <c r="C55">
        <f>Plan!J61</f>
        <v>25</v>
      </c>
      <c r="D55" s="3">
        <v>596</v>
      </c>
      <c r="E55" t="s">
        <v>181</v>
      </c>
      <c r="F55" t="s">
        <v>182</v>
      </c>
      <c r="G55" s="1">
        <f>B55/Plan!B$2</f>
        <v>5.2571428571428571</v>
      </c>
      <c r="H55" s="1">
        <f>(D55/300)*Plan!B$4</f>
        <v>1.49</v>
      </c>
      <c r="I55" s="1">
        <f t="shared" si="3"/>
        <v>6.7471428571428573</v>
      </c>
      <c r="J55" s="1">
        <f>I55/Plan!B$3</f>
        <v>0.67471428571428571</v>
      </c>
      <c r="K55">
        <f>SUM(B$2:B55)</f>
        <v>3224.5999999999995</v>
      </c>
    </row>
    <row r="56" spans="1:11" x14ac:dyDescent="0.25">
      <c r="A56" t="s">
        <v>183</v>
      </c>
      <c r="B56">
        <v>84.1</v>
      </c>
      <c r="C56">
        <f>Plan!J62</f>
        <v>25</v>
      </c>
      <c r="D56" s="3">
        <v>1881</v>
      </c>
      <c r="E56" t="s">
        <v>184</v>
      </c>
      <c r="F56" t="s">
        <v>21</v>
      </c>
      <c r="G56" s="1">
        <f>B56/Plan!B$2</f>
        <v>24.028571428571428</v>
      </c>
      <c r="H56" s="1">
        <f>(D56/300)*Plan!B$4</f>
        <v>4.7024999999999997</v>
      </c>
      <c r="I56" s="1">
        <f t="shared" si="3"/>
        <v>28.731071428571429</v>
      </c>
      <c r="J56" s="1">
        <f>I56/Plan!B$3</f>
        <v>2.8731071428571431</v>
      </c>
      <c r="K56">
        <f>SUM(B$2:B56)</f>
        <v>3308.6999999999994</v>
      </c>
    </row>
    <row r="57" spans="1:11" x14ac:dyDescent="0.25">
      <c r="A57" t="s">
        <v>185</v>
      </c>
      <c r="B57">
        <v>71.2</v>
      </c>
      <c r="C57">
        <f>Plan!J63</f>
        <v>25</v>
      </c>
      <c r="D57" s="3">
        <v>744</v>
      </c>
      <c r="E57" t="s">
        <v>186</v>
      </c>
      <c r="G57" s="1">
        <f>B57/Plan!B$2</f>
        <v>20.342857142857145</v>
      </c>
      <c r="H57" s="1">
        <f>(D57/300)*Plan!B$4</f>
        <v>1.8599999999999999</v>
      </c>
      <c r="I57" s="1">
        <f t="shared" si="3"/>
        <v>22.202857142857145</v>
      </c>
      <c r="J57" s="1">
        <f>I57/Plan!B$3</f>
        <v>2.2202857142857146</v>
      </c>
      <c r="K57">
        <f>SUM(B$2:B57)</f>
        <v>3379.8999999999992</v>
      </c>
    </row>
    <row r="58" spans="1:11" x14ac:dyDescent="0.25">
      <c r="A58" t="s">
        <v>187</v>
      </c>
      <c r="B58">
        <v>8.1</v>
      </c>
      <c r="C58">
        <f>Plan!J64</f>
        <v>26</v>
      </c>
      <c r="D58" s="3">
        <v>195</v>
      </c>
      <c r="E58" t="s">
        <v>188</v>
      </c>
      <c r="F58" t="s">
        <v>189</v>
      </c>
      <c r="G58" s="1">
        <f>B58/Plan!B$2</f>
        <v>2.3142857142857141</v>
      </c>
      <c r="H58" s="1">
        <f>(D58/300)*Plan!B$4</f>
        <v>0.48750000000000004</v>
      </c>
      <c r="I58" s="1">
        <f t="shared" si="3"/>
        <v>2.8017857142857139</v>
      </c>
      <c r="J58" s="1">
        <f>I58/Plan!B$3</f>
        <v>0.28017857142857139</v>
      </c>
      <c r="K58">
        <f>SUM(B$2:B58)</f>
        <v>3387.9999999999991</v>
      </c>
    </row>
    <row r="59" spans="1:11" x14ac:dyDescent="0.25">
      <c r="A59" t="s">
        <v>192</v>
      </c>
      <c r="B59">
        <v>8.1</v>
      </c>
      <c r="C59">
        <f>Plan!J65</f>
        <v>26</v>
      </c>
      <c r="D59" s="3">
        <v>550</v>
      </c>
      <c r="E59" t="s">
        <v>190</v>
      </c>
      <c r="F59" t="s">
        <v>191</v>
      </c>
      <c r="G59" s="1">
        <f>B59/Plan!B$2</f>
        <v>2.3142857142857141</v>
      </c>
      <c r="H59" s="1">
        <f>(D59/300)*Plan!B$4</f>
        <v>1.375</v>
      </c>
      <c r="I59" s="1">
        <f t="shared" si="3"/>
        <v>3.6892857142857141</v>
      </c>
      <c r="J59" s="1">
        <f>I59/Plan!B$3</f>
        <v>0.36892857142857138</v>
      </c>
      <c r="K59">
        <f>SUM(B$2:B59)</f>
        <v>3396.099999999999</v>
      </c>
    </row>
    <row r="60" spans="1:11" x14ac:dyDescent="0.25">
      <c r="A60" t="s">
        <v>193</v>
      </c>
      <c r="B60">
        <v>77</v>
      </c>
      <c r="C60">
        <f>Plan!J66</f>
        <v>26</v>
      </c>
      <c r="D60" s="3">
        <v>1262</v>
      </c>
      <c r="E60" t="s">
        <v>137</v>
      </c>
      <c r="F60" t="s">
        <v>21</v>
      </c>
      <c r="G60" s="1">
        <f>B60/Plan!B$2</f>
        <v>22</v>
      </c>
      <c r="H60" s="1">
        <f>(D60/300)*Plan!B$4</f>
        <v>3.1550000000000002</v>
      </c>
      <c r="I60" s="1">
        <f t="shared" si="3"/>
        <v>25.155000000000001</v>
      </c>
      <c r="J60" s="1">
        <f>I60/Plan!B$3</f>
        <v>2.5155000000000003</v>
      </c>
      <c r="K60">
        <f>SUM(B$2:B60)</f>
        <v>3473.099999999999</v>
      </c>
    </row>
    <row r="61" spans="1:11" x14ac:dyDescent="0.25">
      <c r="A61" t="s">
        <v>194</v>
      </c>
      <c r="B61">
        <v>54.7</v>
      </c>
      <c r="C61">
        <f>Plan!J67</f>
        <v>27</v>
      </c>
      <c r="D61" s="3">
        <v>1701</v>
      </c>
      <c r="E61" t="s">
        <v>195</v>
      </c>
      <c r="G61" s="1">
        <f>B61/Plan!B$2</f>
        <v>15.62857142857143</v>
      </c>
      <c r="H61" s="1">
        <f>(D61/300)*Plan!B$4</f>
        <v>4.2524999999999995</v>
      </c>
      <c r="I61" s="1">
        <f t="shared" si="3"/>
        <v>19.881071428571431</v>
      </c>
      <c r="J61" s="1">
        <f>I61/Plan!B$3</f>
        <v>1.9881071428571431</v>
      </c>
      <c r="K61">
        <f>SUM(B$2:B61)</f>
        <v>3527.7999999999988</v>
      </c>
    </row>
    <row r="62" spans="1:11" x14ac:dyDescent="0.25">
      <c r="A62" t="s">
        <v>196</v>
      </c>
      <c r="B62">
        <v>78.599999999999994</v>
      </c>
      <c r="C62">
        <f>Plan!J68</f>
        <v>27</v>
      </c>
      <c r="D62" s="3">
        <v>2070</v>
      </c>
      <c r="E62" t="s">
        <v>197</v>
      </c>
      <c r="F62" t="s">
        <v>198</v>
      </c>
      <c r="G62" s="1">
        <f>B62/Plan!B$2</f>
        <v>22.457142857142856</v>
      </c>
      <c r="H62" s="1">
        <f>(D62/300)*Plan!B$4</f>
        <v>5.1750000000000007</v>
      </c>
      <c r="I62" s="1">
        <f t="shared" si="3"/>
        <v>27.632142857142856</v>
      </c>
      <c r="J62" s="1">
        <f>I62/Plan!B$3</f>
        <v>2.7632142857142856</v>
      </c>
      <c r="K62">
        <f>SUM(B$2:B62)</f>
        <v>3606.3999999999987</v>
      </c>
    </row>
    <row r="63" spans="1:11" x14ac:dyDescent="0.25">
      <c r="A63" t="s">
        <v>199</v>
      </c>
      <c r="B63">
        <v>104.5</v>
      </c>
      <c r="C63">
        <f>Plan!J69</f>
        <v>28</v>
      </c>
      <c r="D63" s="3">
        <v>2576</v>
      </c>
      <c r="E63" t="s">
        <v>200</v>
      </c>
      <c r="F63" t="s">
        <v>96</v>
      </c>
      <c r="G63" s="1">
        <f>B63/Plan!B$2</f>
        <v>29.857142857142858</v>
      </c>
      <c r="H63" s="1">
        <f>(D63/300)*Plan!B$4</f>
        <v>6.4399999999999995</v>
      </c>
      <c r="I63" s="1">
        <f t="shared" si="3"/>
        <v>36.297142857142859</v>
      </c>
      <c r="J63" s="1">
        <f>I63/Plan!B$3</f>
        <v>3.6297142857142859</v>
      </c>
      <c r="K63">
        <f>SUM(B$2:B63)</f>
        <v>3710.8999999999987</v>
      </c>
    </row>
    <row r="64" spans="1:11" x14ac:dyDescent="0.25">
      <c r="A64" t="s">
        <v>201</v>
      </c>
      <c r="B64">
        <v>47.5</v>
      </c>
      <c r="C64">
        <f>Plan!J70</f>
        <v>29</v>
      </c>
      <c r="D64" s="3">
        <v>958</v>
      </c>
      <c r="E64" t="s">
        <v>202</v>
      </c>
      <c r="G64" s="1">
        <f>B64/Plan!B$2</f>
        <v>13.571428571428571</v>
      </c>
      <c r="H64" s="1">
        <f>(D64/300)*Plan!B$4</f>
        <v>2.395</v>
      </c>
      <c r="I64" s="1">
        <f t="shared" si="3"/>
        <v>15.966428571428571</v>
      </c>
      <c r="J64" s="1">
        <f>I64/Plan!B$3</f>
        <v>1.596642857142857</v>
      </c>
      <c r="K64">
        <f>SUM(B$2:B64)</f>
        <v>3758.3999999999987</v>
      </c>
    </row>
    <row r="65" spans="1:11" x14ac:dyDescent="0.25">
      <c r="A65" t="s">
        <v>203</v>
      </c>
      <c r="B65">
        <v>111.9</v>
      </c>
      <c r="C65">
        <f>Plan!J71</f>
        <v>29</v>
      </c>
      <c r="D65" s="3">
        <v>1841</v>
      </c>
      <c r="E65" t="s">
        <v>204</v>
      </c>
      <c r="F65" t="s">
        <v>205</v>
      </c>
      <c r="G65" s="1">
        <f>B65/Plan!B$2</f>
        <v>31.971428571428572</v>
      </c>
      <c r="H65" s="1">
        <f>(D65/300)*Plan!B$4</f>
        <v>4.6025</v>
      </c>
      <c r="I65" s="1">
        <f t="shared" si="3"/>
        <v>36.573928571428574</v>
      </c>
      <c r="J65" s="1">
        <f>I65/Plan!B$3</f>
        <v>3.6573928571428573</v>
      </c>
      <c r="K65">
        <f>SUM(B$2:B65)</f>
        <v>3870.2999999999988</v>
      </c>
    </row>
    <row r="66" spans="1:11" x14ac:dyDescent="0.25">
      <c r="A66" t="s">
        <v>206</v>
      </c>
      <c r="B66">
        <v>119.9</v>
      </c>
      <c r="C66">
        <f>Plan!J72</f>
        <v>30</v>
      </c>
      <c r="D66" s="3">
        <v>4100</v>
      </c>
      <c r="E66" t="s">
        <v>207</v>
      </c>
      <c r="F66" t="s">
        <v>208</v>
      </c>
      <c r="G66" s="1">
        <f>B66/Plan!B$2</f>
        <v>34.25714285714286</v>
      </c>
      <c r="H66" s="1">
        <f>(D66/300)*Plan!B$4</f>
        <v>10.25</v>
      </c>
      <c r="I66" s="1">
        <f t="shared" si="3"/>
        <v>44.50714285714286</v>
      </c>
      <c r="J66" s="1">
        <f>I66/Plan!B$3</f>
        <v>4.4507142857142856</v>
      </c>
      <c r="K66">
        <f>SUM(B$2:B66)</f>
        <v>3990.1999999999989</v>
      </c>
    </row>
    <row r="67" spans="1:11" x14ac:dyDescent="0.25">
      <c r="A67" t="s">
        <v>209</v>
      </c>
      <c r="B67">
        <v>157.5</v>
      </c>
      <c r="C67">
        <f>Plan!J73</f>
        <v>31</v>
      </c>
      <c r="D67" s="3">
        <v>5139</v>
      </c>
      <c r="E67" t="s">
        <v>210</v>
      </c>
      <c r="F67" t="s">
        <v>211</v>
      </c>
      <c r="G67" s="1">
        <f>B67/Plan!B$2</f>
        <v>45</v>
      </c>
      <c r="H67" s="1">
        <f>(D67/300)*Plan!B$4</f>
        <v>12.8475</v>
      </c>
      <c r="I67" s="1">
        <f t="shared" si="3"/>
        <v>57.847499999999997</v>
      </c>
      <c r="J67" s="1">
        <f>I67/Plan!B$3</f>
        <v>5.7847499999999998</v>
      </c>
      <c r="K67">
        <f>SUM(B$2:B67)</f>
        <v>4147.6999999999989</v>
      </c>
    </row>
    <row r="68" spans="1:11" x14ac:dyDescent="0.25">
      <c r="A68" t="s">
        <v>212</v>
      </c>
      <c r="B68">
        <v>31.7</v>
      </c>
      <c r="C68">
        <f>Plan!J74</f>
        <v>32</v>
      </c>
      <c r="D68" s="3">
        <v>1189</v>
      </c>
      <c r="E68" t="s">
        <v>213</v>
      </c>
      <c r="G68" s="1">
        <f>B68/Plan!B$2</f>
        <v>9.0571428571428569</v>
      </c>
      <c r="H68" s="1">
        <f>(D68/300)*Plan!B$4</f>
        <v>2.9725000000000001</v>
      </c>
      <c r="I68" s="1">
        <f t="shared" si="3"/>
        <v>12.029642857142857</v>
      </c>
      <c r="J68" s="1">
        <f>I68/Plan!B$3</f>
        <v>1.2029642857142857</v>
      </c>
      <c r="K68">
        <f>SUM(B$2:B68)</f>
        <v>4179.3999999999987</v>
      </c>
    </row>
    <row r="69" spans="1:11" x14ac:dyDescent="0.25">
      <c r="A69" t="s">
        <v>214</v>
      </c>
      <c r="B69">
        <v>49.1</v>
      </c>
      <c r="C69">
        <f>Plan!J75</f>
        <v>32</v>
      </c>
      <c r="D69" s="3">
        <v>1538</v>
      </c>
      <c r="E69" t="s">
        <v>215</v>
      </c>
      <c r="G69" s="1">
        <f>B69/Plan!B$2</f>
        <v>14.028571428571428</v>
      </c>
      <c r="H69" s="1">
        <f>(D69/300)*Plan!B$4</f>
        <v>3.8450000000000002</v>
      </c>
      <c r="I69" s="1">
        <f t="shared" si="3"/>
        <v>17.873571428571427</v>
      </c>
      <c r="J69" s="1">
        <f>I69/Plan!B$3</f>
        <v>1.7873571428571426</v>
      </c>
      <c r="K69">
        <f>SUM(B$2:B69)</f>
        <v>4228.4999999999991</v>
      </c>
    </row>
    <row r="70" spans="1:11" ht="15.75" thickBot="1" x14ac:dyDescent="0.3">
      <c r="A70" t="s">
        <v>216</v>
      </c>
      <c r="B70">
        <v>63.1</v>
      </c>
      <c r="C70">
        <f>Plan!J76</f>
        <v>32</v>
      </c>
      <c r="D70" s="3">
        <v>1344</v>
      </c>
      <c r="E70" t="s">
        <v>151</v>
      </c>
      <c r="G70" s="1">
        <f>B70/Plan!B$2</f>
        <v>18.028571428571428</v>
      </c>
      <c r="H70" s="1">
        <f>(D70/300)*Plan!B$4</f>
        <v>3.3600000000000003</v>
      </c>
      <c r="I70" s="1">
        <f t="shared" si="3"/>
        <v>21.388571428571428</v>
      </c>
      <c r="J70" s="1">
        <f>I70/Plan!B$3</f>
        <v>2.1388571428571428</v>
      </c>
      <c r="K70">
        <f>SUM(B$2:B70)</f>
        <v>4291.5999999999995</v>
      </c>
    </row>
    <row r="71" spans="1:11" ht="15.75" thickBot="1" x14ac:dyDescent="0.3">
      <c r="D71" s="4">
        <f>SUM(D2:D70)</f>
        <v>96313</v>
      </c>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showGridLines="0" topLeftCell="A19" workbookViewId="0">
      <selection activeCell="A7" sqref="A7"/>
    </sheetView>
  </sheetViews>
  <sheetFormatPr baseColWidth="10" defaultRowHeight="15" x14ac:dyDescent="0.25"/>
  <sheetData/>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Plan</vt:lpstr>
      <vt:lpstr>base</vt:lpstr>
      <vt:lpstr>mode d'emploi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2017-12-16T14:12:40Z</dcterms:modified>
</cp:coreProperties>
</file>