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activeTab="2"/>
  </bookViews>
  <sheets>
    <sheet name="PCT continu" sheetId="2" r:id="rId1"/>
    <sheet name="alim continu" sheetId="3" r:id="rId2"/>
    <sheet name="Sierra décalée" sheetId="4" r:id="rId3"/>
    <sheet name="alim décalée" sheetId="6" r:id="rId4"/>
    <sheet name="achats" sheetId="5" r:id="rId5"/>
  </sheets>
  <definedNames>
    <definedName name="_xlnm.Print_Area" localSheetId="1">'alim continu'!$C$1:$W$82</definedName>
  </definedNames>
  <calcPr calcId="124519"/>
</workbook>
</file>

<file path=xl/calcChain.xml><?xml version="1.0" encoding="utf-8"?>
<calcChain xmlns="http://schemas.openxmlformats.org/spreadsheetml/2006/main">
  <c r="O6" i="2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5"/>
  <c r="M41"/>
  <c r="N41"/>
  <c r="C55" i="5"/>
  <c r="D55"/>
  <c r="E55" s="1"/>
  <c r="C56"/>
  <c r="E56" s="1"/>
  <c r="D56"/>
  <c r="C57"/>
  <c r="D57"/>
  <c r="E57" s="1"/>
  <c r="C58"/>
  <c r="D58"/>
  <c r="E58" s="1"/>
  <c r="C59"/>
  <c r="D59"/>
  <c r="E59"/>
  <c r="C60"/>
  <c r="D60"/>
  <c r="E60"/>
  <c r="C61"/>
  <c r="D61"/>
  <c r="E61" s="1"/>
  <c r="C62"/>
  <c r="D62"/>
  <c r="E62" s="1"/>
  <c r="C63"/>
  <c r="D63"/>
  <c r="E63" s="1"/>
  <c r="C64"/>
  <c r="F64" s="1"/>
  <c r="E65"/>
  <c r="F65"/>
  <c r="H65"/>
  <c r="I65"/>
  <c r="C66"/>
  <c r="F66" s="1"/>
  <c r="H66"/>
  <c r="C67"/>
  <c r="I67" s="1"/>
  <c r="F67"/>
  <c r="H67"/>
  <c r="C68"/>
  <c r="D68"/>
  <c r="H68" s="1"/>
  <c r="E68"/>
  <c r="F68"/>
  <c r="I68"/>
  <c r="C69"/>
  <c r="F69" s="1"/>
  <c r="H69"/>
  <c r="C70"/>
  <c r="I70" s="1"/>
  <c r="F70"/>
  <c r="H70"/>
  <c r="C71"/>
  <c r="D71"/>
  <c r="E71"/>
  <c r="F71"/>
  <c r="C72"/>
  <c r="D72"/>
  <c r="E72" s="1"/>
  <c r="F72"/>
  <c r="C73"/>
  <c r="D73"/>
  <c r="H73" s="1"/>
  <c r="E73"/>
  <c r="F73"/>
  <c r="I73"/>
  <c r="C74"/>
  <c r="F74" s="1"/>
  <c r="H74"/>
  <c r="B33"/>
  <c r="G33" s="1"/>
  <c r="C34"/>
  <c r="E34"/>
  <c r="G34"/>
  <c r="C35"/>
  <c r="E35"/>
  <c r="G35"/>
  <c r="C36"/>
  <c r="E36"/>
  <c r="G36"/>
  <c r="C37"/>
  <c r="E37"/>
  <c r="G37"/>
  <c r="C38"/>
  <c r="E38"/>
  <c r="G38"/>
  <c r="C39"/>
  <c r="E39"/>
  <c r="G39"/>
  <c r="J39"/>
  <c r="K39"/>
  <c r="L39"/>
  <c r="C40"/>
  <c r="E40"/>
  <c r="G40"/>
  <c r="C41"/>
  <c r="E41"/>
  <c r="G41"/>
  <c r="C42"/>
  <c r="E42"/>
  <c r="G42"/>
  <c r="C43"/>
  <c r="E43"/>
  <c r="G43"/>
  <c r="C44"/>
  <c r="E44"/>
  <c r="G44"/>
  <c r="C45"/>
  <c r="E45"/>
  <c r="G45"/>
  <c r="D46"/>
  <c r="F46"/>
  <c r="H46"/>
  <c r="L47"/>
  <c r="L48"/>
  <c r="C49"/>
  <c r="E49"/>
  <c r="G49"/>
  <c r="E50"/>
  <c r="C51"/>
  <c r="E51"/>
  <c r="G51"/>
  <c r="F52"/>
  <c r="F26"/>
  <c r="G25"/>
  <c r="E25"/>
  <c r="C25"/>
  <c r="E24"/>
  <c r="G23"/>
  <c r="E23"/>
  <c r="C23"/>
  <c r="H21"/>
  <c r="F21"/>
  <c r="D2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L14"/>
  <c r="K14"/>
  <c r="G14"/>
  <c r="E14"/>
  <c r="C14"/>
  <c r="G13"/>
  <c r="E13"/>
  <c r="C13"/>
  <c r="G12"/>
  <c r="E12"/>
  <c r="C12"/>
  <c r="G11"/>
  <c r="E11"/>
  <c r="C11"/>
  <c r="G10"/>
  <c r="E10"/>
  <c r="C10"/>
  <c r="G9"/>
  <c r="E9"/>
  <c r="C9"/>
  <c r="B8"/>
  <c r="C8" s="1"/>
  <c r="G75" i="6"/>
  <c r="H75"/>
  <c r="H46" s="1"/>
  <c r="I75"/>
  <c r="J75"/>
  <c r="K75"/>
  <c r="L75"/>
  <c r="M75"/>
  <c r="F75"/>
  <c r="F46" s="1"/>
  <c r="Z41" i="4"/>
  <c r="Q41"/>
  <c r="Y17"/>
  <c r="AC37"/>
  <c r="AC35"/>
  <c r="AC33"/>
  <c r="AC29"/>
  <c r="AC25"/>
  <c r="W48" i="6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D48"/>
  <c r="D49"/>
  <c r="E49"/>
  <c r="D50"/>
  <c r="E50"/>
  <c r="D51"/>
  <c r="E51"/>
  <c r="D52"/>
  <c r="D53"/>
  <c r="D54"/>
  <c r="E54"/>
  <c r="D55"/>
  <c r="D56"/>
  <c r="D57"/>
  <c r="E57"/>
  <c r="D58"/>
  <c r="D59"/>
  <c r="D60"/>
  <c r="D61"/>
  <c r="D62"/>
  <c r="E62"/>
  <c r="D63"/>
  <c r="D64"/>
  <c r="D65"/>
  <c r="E65"/>
  <c r="D66"/>
  <c r="D67"/>
  <c r="E67"/>
  <c r="D68"/>
  <c r="D69"/>
  <c r="D70"/>
  <c r="E70"/>
  <c r="D71"/>
  <c r="D72"/>
  <c r="D73"/>
  <c r="E73"/>
  <c r="D74"/>
  <c r="E74"/>
  <c r="D75"/>
  <c r="E75"/>
  <c r="D76"/>
  <c r="D77"/>
  <c r="D78"/>
  <c r="E78"/>
  <c r="D79"/>
  <c r="D80"/>
  <c r="D81"/>
  <c r="E81"/>
  <c r="D82"/>
  <c r="E82"/>
  <c r="E47"/>
  <c r="D47"/>
  <c r="E41"/>
  <c r="E8"/>
  <c r="U8" s="1"/>
  <c r="E9"/>
  <c r="E10"/>
  <c r="E11"/>
  <c r="E12"/>
  <c r="E13"/>
  <c r="E14"/>
  <c r="E55" s="1"/>
  <c r="E15"/>
  <c r="E16"/>
  <c r="V16" s="1"/>
  <c r="E17"/>
  <c r="E18"/>
  <c r="E19"/>
  <c r="V19" s="1"/>
  <c r="E20"/>
  <c r="E21"/>
  <c r="E22"/>
  <c r="E23"/>
  <c r="V23" s="1"/>
  <c r="E24"/>
  <c r="U24" s="1"/>
  <c r="E25"/>
  <c r="E26"/>
  <c r="U26" s="1"/>
  <c r="E27"/>
  <c r="E28"/>
  <c r="E69" s="1"/>
  <c r="E29"/>
  <c r="E30"/>
  <c r="V30" s="1"/>
  <c r="E31"/>
  <c r="U31" s="1"/>
  <c r="E32"/>
  <c r="E33"/>
  <c r="U33" s="1"/>
  <c r="E34"/>
  <c r="V34" s="1"/>
  <c r="E35"/>
  <c r="E36"/>
  <c r="V36" s="1"/>
  <c r="E37"/>
  <c r="U37" s="1"/>
  <c r="E38"/>
  <c r="E39"/>
  <c r="U39" s="1"/>
  <c r="E40"/>
  <c r="E7"/>
  <c r="E6"/>
  <c r="V6" s="1"/>
  <c r="C82"/>
  <c r="C81"/>
  <c r="C80"/>
  <c r="C79"/>
  <c r="C78"/>
  <c r="C77"/>
  <c r="C76"/>
  <c r="C75"/>
  <c r="C74"/>
  <c r="C73"/>
  <c r="C72"/>
  <c r="C71"/>
  <c r="C70"/>
  <c r="C69"/>
  <c r="C68"/>
  <c r="K46"/>
  <c r="I46"/>
  <c r="C67"/>
  <c r="P46"/>
  <c r="C66"/>
  <c r="C65"/>
  <c r="C64"/>
  <c r="C63"/>
  <c r="C62"/>
  <c r="C61"/>
  <c r="C60"/>
  <c r="C59"/>
  <c r="S46"/>
  <c r="C58"/>
  <c r="C57"/>
  <c r="C56"/>
  <c r="C55"/>
  <c r="C54"/>
  <c r="C53"/>
  <c r="C52"/>
  <c r="C51"/>
  <c r="M46"/>
  <c r="C50"/>
  <c r="C49"/>
  <c r="C48"/>
  <c r="W47"/>
  <c r="C47"/>
  <c r="T46"/>
  <c r="R46"/>
  <c r="Q46"/>
  <c r="O46"/>
  <c r="N46"/>
  <c r="M45"/>
  <c r="L45"/>
  <c r="J45"/>
  <c r="U36"/>
  <c r="V29"/>
  <c r="U29"/>
  <c r="V22"/>
  <c r="U14"/>
  <c r="V13"/>
  <c r="U13"/>
  <c r="V12"/>
  <c r="V11"/>
  <c r="U11"/>
  <c r="V10"/>
  <c r="U10"/>
  <c r="T4"/>
  <c r="T11" s="1"/>
  <c r="S4"/>
  <c r="S35" s="1"/>
  <c r="R4"/>
  <c r="R32" s="1"/>
  <c r="Q4"/>
  <c r="Q17" s="1"/>
  <c r="P4"/>
  <c r="P30" s="1"/>
  <c r="O4"/>
  <c r="O33" s="1"/>
  <c r="N4"/>
  <c r="M4"/>
  <c r="L4"/>
  <c r="K4"/>
  <c r="K15" s="1"/>
  <c r="J4"/>
  <c r="J15" s="1"/>
  <c r="I4"/>
  <c r="I11" s="1"/>
  <c r="H4"/>
  <c r="H9" s="1"/>
  <c r="G4"/>
  <c r="G21" s="1"/>
  <c r="F4"/>
  <c r="F30" s="1"/>
  <c r="AD39" i="2"/>
  <c r="AD35"/>
  <c r="G67" i="3"/>
  <c r="H67"/>
  <c r="I67"/>
  <c r="K67"/>
  <c r="F67"/>
  <c r="N66"/>
  <c r="O66"/>
  <c r="P66"/>
  <c r="Q66"/>
  <c r="R66"/>
  <c r="S66"/>
  <c r="T66"/>
  <c r="G66"/>
  <c r="H66"/>
  <c r="I66"/>
  <c r="K66"/>
  <c r="F66"/>
  <c r="S58"/>
  <c r="S56"/>
  <c r="M45"/>
  <c r="M67" s="1"/>
  <c r="L45"/>
  <c r="L50" s="1"/>
  <c r="M4"/>
  <c r="L4"/>
  <c r="J45"/>
  <c r="J50" s="1"/>
  <c r="J4"/>
  <c r="G50"/>
  <c r="H50"/>
  <c r="I50"/>
  <c r="K50"/>
  <c r="F50"/>
  <c r="S49"/>
  <c r="T49"/>
  <c r="R49"/>
  <c r="H4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47"/>
  <c r="AC30" i="4"/>
  <c r="AC21"/>
  <c r="E16"/>
  <c r="C16"/>
  <c r="C17"/>
  <c r="T16"/>
  <c r="U16"/>
  <c r="Y16"/>
  <c r="X16" s="1"/>
  <c r="AC17"/>
  <c r="AC15"/>
  <c r="AC13"/>
  <c r="AC12"/>
  <c r="AC11"/>
  <c r="AC8"/>
  <c r="T4" i="3"/>
  <c r="S4"/>
  <c r="R4"/>
  <c r="Q4"/>
  <c r="P4"/>
  <c r="O4"/>
  <c r="N4"/>
  <c r="K4"/>
  <c r="I4"/>
  <c r="G4"/>
  <c r="F4"/>
  <c r="I74" i="5" l="1"/>
  <c r="I69"/>
  <c r="I66"/>
  <c r="C30"/>
  <c r="F30" s="1"/>
  <c r="E70"/>
  <c r="E67"/>
  <c r="E74"/>
  <c r="E69"/>
  <c r="E66"/>
  <c r="E64"/>
  <c r="H11" i="6"/>
  <c r="H17"/>
  <c r="G46" i="5"/>
  <c r="P7" i="6"/>
  <c r="E26" i="5"/>
  <c r="H35" i="6"/>
  <c r="P33"/>
  <c r="P15"/>
  <c r="P38"/>
  <c r="H21"/>
  <c r="E52" i="5"/>
  <c r="Q35" i="6"/>
  <c r="P18"/>
  <c r="Q30"/>
  <c r="I35"/>
  <c r="R21"/>
  <c r="R35"/>
  <c r="L66" i="3"/>
  <c r="Q16" i="6"/>
  <c r="O30"/>
  <c r="O29"/>
  <c r="G13"/>
  <c r="C21" i="5"/>
  <c r="M50" i="3"/>
  <c r="M66"/>
  <c r="J67"/>
  <c r="Q15" i="6"/>
  <c r="G35"/>
  <c r="R40"/>
  <c r="Q38"/>
  <c r="P22"/>
  <c r="O27"/>
  <c r="C5" i="5"/>
  <c r="F5" s="1"/>
  <c r="K11" i="6"/>
  <c r="R20"/>
  <c r="S20"/>
  <c r="L67" i="3"/>
  <c r="R9" i="6"/>
  <c r="S11"/>
  <c r="O26"/>
  <c r="O38"/>
  <c r="G9"/>
  <c r="S40"/>
  <c r="S32"/>
  <c r="C33" i="5"/>
  <c r="C46" s="1"/>
  <c r="R12" i="6"/>
  <c r="R15"/>
  <c r="J11"/>
  <c r="I38"/>
  <c r="Q7"/>
  <c r="G25"/>
  <c r="I9"/>
  <c r="E33" i="5"/>
  <c r="E46" s="1"/>
  <c r="G41" i="6"/>
  <c r="J66" i="3"/>
  <c r="G8" i="5"/>
  <c r="G21" s="1"/>
  <c r="E8"/>
  <c r="E21" s="1"/>
  <c r="H27" i="6"/>
  <c r="G27"/>
  <c r="Q27"/>
  <c r="V25"/>
  <c r="E66"/>
  <c r="R25"/>
  <c r="E59"/>
  <c r="V18"/>
  <c r="R17"/>
  <c r="G17"/>
  <c r="E58"/>
  <c r="O36"/>
  <c r="P12"/>
  <c r="P20"/>
  <c r="V21"/>
  <c r="O12"/>
  <c r="I12"/>
  <c r="P13"/>
  <c r="V14"/>
  <c r="I15"/>
  <c r="V15"/>
  <c r="J20"/>
  <c r="P21"/>
  <c r="O22"/>
  <c r="U23"/>
  <c r="H30"/>
  <c r="U35"/>
  <c r="G38"/>
  <c r="E80"/>
  <c r="E76"/>
  <c r="E72"/>
  <c r="E68"/>
  <c r="E64"/>
  <c r="E60"/>
  <c r="E56"/>
  <c r="E52"/>
  <c r="E48"/>
  <c r="Q12"/>
  <c r="G36"/>
  <c r="K20"/>
  <c r="U22"/>
  <c r="P36"/>
  <c r="H12"/>
  <c r="H15"/>
  <c r="U15"/>
  <c r="I20"/>
  <c r="V20"/>
  <c r="O21"/>
  <c r="G22"/>
  <c r="M23"/>
  <c r="G30"/>
  <c r="V31"/>
  <c r="R38"/>
  <c r="V39"/>
  <c r="E79"/>
  <c r="E63"/>
  <c r="M14"/>
  <c r="I30"/>
  <c r="G12"/>
  <c r="T15"/>
  <c r="S15"/>
  <c r="H20"/>
  <c r="U20"/>
  <c r="I21"/>
  <c r="U28"/>
  <c r="R30"/>
  <c r="E77"/>
  <c r="E61"/>
  <c r="E53"/>
  <c r="Q20"/>
  <c r="O13"/>
  <c r="E71"/>
  <c r="Q21"/>
  <c r="H38"/>
  <c r="V38"/>
  <c r="U41"/>
  <c r="P41"/>
  <c r="K41"/>
  <c r="S41"/>
  <c r="O41"/>
  <c r="Q41"/>
  <c r="J41"/>
  <c r="R41"/>
  <c r="H41"/>
  <c r="V41"/>
  <c r="O16"/>
  <c r="V17"/>
  <c r="P32"/>
  <c r="H33"/>
  <c r="I16"/>
  <c r="U18"/>
  <c r="P25"/>
  <c r="K32"/>
  <c r="U34"/>
  <c r="K40"/>
  <c r="T9"/>
  <c r="Q9"/>
  <c r="R11"/>
  <c r="H16"/>
  <c r="P17"/>
  <c r="O18"/>
  <c r="U19"/>
  <c r="O25"/>
  <c r="V27"/>
  <c r="J32"/>
  <c r="Q33"/>
  <c r="M34"/>
  <c r="P35"/>
  <c r="J40"/>
  <c r="O40"/>
  <c r="P16"/>
  <c r="Q25"/>
  <c r="P40"/>
  <c r="V9"/>
  <c r="P9"/>
  <c r="Q11"/>
  <c r="G16"/>
  <c r="O17"/>
  <c r="G18"/>
  <c r="M19"/>
  <c r="I25"/>
  <c r="U27"/>
  <c r="I32"/>
  <c r="V32"/>
  <c r="O35"/>
  <c r="I40"/>
  <c r="V40"/>
  <c r="N16"/>
  <c r="G33"/>
  <c r="O9"/>
  <c r="P11"/>
  <c r="R16"/>
  <c r="I17"/>
  <c r="H25"/>
  <c r="V26"/>
  <c r="P27"/>
  <c r="H32"/>
  <c r="U32"/>
  <c r="V33"/>
  <c r="J35"/>
  <c r="H40"/>
  <c r="U40"/>
  <c r="G40"/>
  <c r="Q32"/>
  <c r="Q40"/>
  <c r="T32"/>
  <c r="T40"/>
  <c r="K7"/>
  <c r="I7"/>
  <c r="U7"/>
  <c r="H7"/>
  <c r="S7"/>
  <c r="V7"/>
  <c r="G7"/>
  <c r="R7"/>
  <c r="O7"/>
  <c r="J7"/>
  <c r="M7"/>
  <c r="T7"/>
  <c r="U6"/>
  <c r="O6"/>
  <c r="N6"/>
  <c r="L24"/>
  <c r="T24"/>
  <c r="N26"/>
  <c r="N29"/>
  <c r="L37"/>
  <c r="M6"/>
  <c r="M29"/>
  <c r="J26"/>
  <c r="T6"/>
  <c r="T10"/>
  <c r="M13"/>
  <c r="M18"/>
  <c r="M22"/>
  <c r="R24"/>
  <c r="F27"/>
  <c r="L31"/>
  <c r="F33"/>
  <c r="T39"/>
  <c r="N41"/>
  <c r="Q8"/>
  <c r="N12"/>
  <c r="L13"/>
  <c r="R14"/>
  <c r="F16"/>
  <c r="N17"/>
  <c r="N21"/>
  <c r="T22"/>
  <c r="R23"/>
  <c r="N25"/>
  <c r="M27"/>
  <c r="Q28"/>
  <c r="N30"/>
  <c r="K31"/>
  <c r="J34"/>
  <c r="R34"/>
  <c r="T36"/>
  <c r="I37"/>
  <c r="F38"/>
  <c r="N38"/>
  <c r="K39"/>
  <c r="M41"/>
  <c r="L46"/>
  <c r="J46"/>
  <c r="J6"/>
  <c r="R6"/>
  <c r="H8"/>
  <c r="P8"/>
  <c r="M9"/>
  <c r="U9"/>
  <c r="J10"/>
  <c r="R10"/>
  <c r="G11"/>
  <c r="O11"/>
  <c r="M12"/>
  <c r="U12"/>
  <c r="K13"/>
  <c r="S13"/>
  <c r="I14"/>
  <c r="Q14"/>
  <c r="G15"/>
  <c r="O15"/>
  <c r="M16"/>
  <c r="U16"/>
  <c r="M17"/>
  <c r="U17"/>
  <c r="K18"/>
  <c r="S18"/>
  <c r="I19"/>
  <c r="Q19"/>
  <c r="G20"/>
  <c r="O20"/>
  <c r="M21"/>
  <c r="U21"/>
  <c r="K22"/>
  <c r="S22"/>
  <c r="I23"/>
  <c r="Q23"/>
  <c r="H24"/>
  <c r="P24"/>
  <c r="M25"/>
  <c r="U25"/>
  <c r="R26"/>
  <c r="L27"/>
  <c r="T27"/>
  <c r="H28"/>
  <c r="P28"/>
  <c r="J29"/>
  <c r="R29"/>
  <c r="M30"/>
  <c r="U30"/>
  <c r="J31"/>
  <c r="R31"/>
  <c r="G32"/>
  <c r="O32"/>
  <c r="L33"/>
  <c r="T33"/>
  <c r="I34"/>
  <c r="Q34"/>
  <c r="F35"/>
  <c r="N35"/>
  <c r="V35"/>
  <c r="K36"/>
  <c r="S36"/>
  <c r="H37"/>
  <c r="P37"/>
  <c r="M38"/>
  <c r="U38"/>
  <c r="J39"/>
  <c r="R39"/>
  <c r="L41"/>
  <c r="T41"/>
  <c r="T8"/>
  <c r="N10"/>
  <c r="F26"/>
  <c r="N31"/>
  <c r="T37"/>
  <c r="T14"/>
  <c r="N18"/>
  <c r="L19"/>
  <c r="N22"/>
  <c r="L23"/>
  <c r="K24"/>
  <c r="S28"/>
  <c r="M31"/>
  <c r="L34"/>
  <c r="F36"/>
  <c r="S37"/>
  <c r="M39"/>
  <c r="R8"/>
  <c r="S19"/>
  <c r="K23"/>
  <c r="L26"/>
  <c r="T26"/>
  <c r="J28"/>
  <c r="F41"/>
  <c r="F9"/>
  <c r="S10"/>
  <c r="F12"/>
  <c r="T13"/>
  <c r="F17"/>
  <c r="R19"/>
  <c r="F21"/>
  <c r="L22"/>
  <c r="J23"/>
  <c r="Q24"/>
  <c r="S26"/>
  <c r="S39"/>
  <c r="F7"/>
  <c r="N11"/>
  <c r="T12"/>
  <c r="H14"/>
  <c r="F15"/>
  <c r="L17"/>
  <c r="T17"/>
  <c r="J18"/>
  <c r="R18"/>
  <c r="P19"/>
  <c r="F20"/>
  <c r="N20"/>
  <c r="L21"/>
  <c r="T21"/>
  <c r="J22"/>
  <c r="R22"/>
  <c r="H23"/>
  <c r="P23"/>
  <c r="G24"/>
  <c r="O24"/>
  <c r="L25"/>
  <c r="T25"/>
  <c r="I26"/>
  <c r="Q26"/>
  <c r="K27"/>
  <c r="S27"/>
  <c r="G28"/>
  <c r="O28"/>
  <c r="I29"/>
  <c r="Q29"/>
  <c r="L30"/>
  <c r="T30"/>
  <c r="I31"/>
  <c r="Q31"/>
  <c r="F32"/>
  <c r="N32"/>
  <c r="K33"/>
  <c r="S33"/>
  <c r="H34"/>
  <c r="P34"/>
  <c r="M35"/>
  <c r="J36"/>
  <c r="R36"/>
  <c r="G37"/>
  <c r="O37"/>
  <c r="L38"/>
  <c r="T38"/>
  <c r="I39"/>
  <c r="Q39"/>
  <c r="F40"/>
  <c r="N40"/>
  <c r="G46"/>
  <c r="L8"/>
  <c r="F10"/>
  <c r="L28"/>
  <c r="T28"/>
  <c r="N39"/>
  <c r="S8"/>
  <c r="M10"/>
  <c r="N13"/>
  <c r="L14"/>
  <c r="T19"/>
  <c r="F22"/>
  <c r="S24"/>
  <c r="M26"/>
  <c r="J8"/>
  <c r="K14"/>
  <c r="N27"/>
  <c r="T29"/>
  <c r="S34"/>
  <c r="L39"/>
  <c r="J14"/>
  <c r="L18"/>
  <c r="F25"/>
  <c r="K26"/>
  <c r="K29"/>
  <c r="S29"/>
  <c r="I6"/>
  <c r="N7"/>
  <c r="G8"/>
  <c r="O8"/>
  <c r="Q10"/>
  <c r="F11"/>
  <c r="R13"/>
  <c r="N15"/>
  <c r="L16"/>
  <c r="H19"/>
  <c r="H6"/>
  <c r="P6"/>
  <c r="N8"/>
  <c r="V8"/>
  <c r="K9"/>
  <c r="S9"/>
  <c r="H10"/>
  <c r="P10"/>
  <c r="M11"/>
  <c r="K12"/>
  <c r="S12"/>
  <c r="I13"/>
  <c r="Q13"/>
  <c r="G14"/>
  <c r="O14"/>
  <c r="M15"/>
  <c r="K16"/>
  <c r="S16"/>
  <c r="K17"/>
  <c r="S17"/>
  <c r="I18"/>
  <c r="Q18"/>
  <c r="G19"/>
  <c r="O19"/>
  <c r="M20"/>
  <c r="K21"/>
  <c r="S21"/>
  <c r="I22"/>
  <c r="Q22"/>
  <c r="G23"/>
  <c r="O23"/>
  <c r="F24"/>
  <c r="N24"/>
  <c r="V24"/>
  <c r="K25"/>
  <c r="S25"/>
  <c r="H26"/>
  <c r="P26"/>
  <c r="J27"/>
  <c r="R27"/>
  <c r="F28"/>
  <c r="N28"/>
  <c r="V28"/>
  <c r="H29"/>
  <c r="P29"/>
  <c r="K30"/>
  <c r="S30"/>
  <c r="H31"/>
  <c r="P31"/>
  <c r="M32"/>
  <c r="J33"/>
  <c r="R33"/>
  <c r="G34"/>
  <c r="O34"/>
  <c r="L35"/>
  <c r="T35"/>
  <c r="I36"/>
  <c r="Q36"/>
  <c r="F37"/>
  <c r="N37"/>
  <c r="V37"/>
  <c r="K38"/>
  <c r="S38"/>
  <c r="H39"/>
  <c r="P39"/>
  <c r="M40"/>
  <c r="F6"/>
  <c r="F29"/>
  <c r="F31"/>
  <c r="F39"/>
  <c r="K8"/>
  <c r="F13"/>
  <c r="F18"/>
  <c r="T23"/>
  <c r="K28"/>
  <c r="T34"/>
  <c r="N36"/>
  <c r="K37"/>
  <c r="L6"/>
  <c r="L10"/>
  <c r="S14"/>
  <c r="K19"/>
  <c r="S23"/>
  <c r="J24"/>
  <c r="R28"/>
  <c r="L29"/>
  <c r="T31"/>
  <c r="N33"/>
  <c r="K34"/>
  <c r="M36"/>
  <c r="J37"/>
  <c r="R37"/>
  <c r="K6"/>
  <c r="S6"/>
  <c r="I8"/>
  <c r="N9"/>
  <c r="K10"/>
  <c r="T18"/>
  <c r="J19"/>
  <c r="I24"/>
  <c r="I28"/>
  <c r="S31"/>
  <c r="M33"/>
  <c r="L36"/>
  <c r="Q37"/>
  <c r="Q6"/>
  <c r="I10"/>
  <c r="L12"/>
  <c r="J13"/>
  <c r="P14"/>
  <c r="T16"/>
  <c r="F8"/>
  <c r="G6"/>
  <c r="L7"/>
  <c r="M8"/>
  <c r="J9"/>
  <c r="G10"/>
  <c r="O10"/>
  <c r="L11"/>
  <c r="J12"/>
  <c r="H13"/>
  <c r="F14"/>
  <c r="N14"/>
  <c r="L15"/>
  <c r="J16"/>
  <c r="J17"/>
  <c r="H18"/>
  <c r="F19"/>
  <c r="N19"/>
  <c r="L20"/>
  <c r="T20"/>
  <c r="J21"/>
  <c r="H22"/>
  <c r="F23"/>
  <c r="N23"/>
  <c r="M24"/>
  <c r="J25"/>
  <c r="G26"/>
  <c r="I27"/>
  <c r="M28"/>
  <c r="G29"/>
  <c r="J30"/>
  <c r="G31"/>
  <c r="O31"/>
  <c r="L32"/>
  <c r="I33"/>
  <c r="F34"/>
  <c r="N34"/>
  <c r="K35"/>
  <c r="H36"/>
  <c r="M37"/>
  <c r="J38"/>
  <c r="G39"/>
  <c r="O39"/>
  <c r="L40"/>
  <c r="I41"/>
  <c r="U17" i="4"/>
  <c r="V16"/>
  <c r="W16" s="1"/>
  <c r="I35" i="5" l="1"/>
  <c r="L35"/>
  <c r="K35"/>
  <c r="L36"/>
  <c r="J35"/>
  <c r="J36"/>
  <c r="I45"/>
  <c r="L44"/>
  <c r="K45"/>
  <c r="I43"/>
  <c r="I34"/>
  <c r="K40"/>
  <c r="I42"/>
  <c r="I37"/>
  <c r="I44"/>
  <c r="L33"/>
  <c r="K37"/>
  <c r="K33"/>
  <c r="J34"/>
  <c r="L34"/>
  <c r="J42"/>
  <c r="K34"/>
  <c r="L43"/>
  <c r="J40"/>
  <c r="K44"/>
  <c r="B5"/>
  <c r="E5" s="1"/>
  <c r="K42"/>
  <c r="I36"/>
  <c r="J43"/>
  <c r="L40"/>
  <c r="J37"/>
  <c r="I41"/>
  <c r="J41"/>
  <c r="K41"/>
  <c r="K38"/>
  <c r="L45"/>
  <c r="L37"/>
  <c r="K43"/>
  <c r="J45"/>
  <c r="J38"/>
  <c r="L42"/>
  <c r="K36"/>
  <c r="J33"/>
  <c r="L41"/>
  <c r="L38"/>
  <c r="I38"/>
  <c r="I33"/>
  <c r="I40"/>
  <c r="J44"/>
  <c r="B30"/>
  <c r="E30" s="1"/>
  <c r="H5" i="6"/>
  <c r="T5"/>
  <c r="K5"/>
  <c r="P5"/>
  <c r="L9"/>
  <c r="L5" s="1"/>
  <c r="R5"/>
  <c r="M5"/>
  <c r="F5"/>
  <c r="S5"/>
  <c r="I5"/>
  <c r="N5"/>
  <c r="G5"/>
  <c r="Q5"/>
  <c r="J5"/>
  <c r="O5"/>
  <c r="T17" i="4"/>
  <c r="W48" i="3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47"/>
  <c r="AD31" i="2"/>
  <c r="AD27"/>
  <c r="AD15"/>
  <c r="AD13"/>
  <c r="AD11"/>
  <c r="AD8"/>
  <c r="AB5"/>
  <c r="AB6" s="1"/>
  <c r="AB7" s="1"/>
  <c r="AB8" s="1"/>
  <c r="AB9" s="1"/>
  <c r="AB10" s="1"/>
  <c r="AB11" s="1"/>
  <c r="AB12" s="1"/>
  <c r="AB13" s="1"/>
  <c r="AB14" s="1"/>
  <c r="AB15" s="1"/>
  <c r="AB16" s="1"/>
  <c r="AB17" s="1"/>
  <c r="AB18" s="1"/>
  <c r="AB19" s="1"/>
  <c r="AB20" s="1"/>
  <c r="AB21" s="1"/>
  <c r="AB22" s="1"/>
  <c r="AB23" s="1"/>
  <c r="AB24" s="1"/>
  <c r="AB25" s="1"/>
  <c r="AB26" s="1"/>
  <c r="M34" i="4"/>
  <c r="M39"/>
  <c r="E32"/>
  <c r="F32" s="1"/>
  <c r="H32" s="1"/>
  <c r="M32" s="1"/>
  <c r="E33"/>
  <c r="E34"/>
  <c r="E35"/>
  <c r="E36"/>
  <c r="E37"/>
  <c r="E38"/>
  <c r="E39"/>
  <c r="E40"/>
  <c r="F40" s="1"/>
  <c r="H40" s="1"/>
  <c r="M40" s="1"/>
  <c r="F16"/>
  <c r="H16" s="1"/>
  <c r="M16" s="1"/>
  <c r="C33"/>
  <c r="F33" s="1"/>
  <c r="H33" s="1"/>
  <c r="M33" s="1"/>
  <c r="C34"/>
  <c r="F34" s="1"/>
  <c r="H34" s="1"/>
  <c r="C35"/>
  <c r="C36"/>
  <c r="C37"/>
  <c r="C38"/>
  <c r="F38" s="1"/>
  <c r="H38" s="1"/>
  <c r="M38" s="1"/>
  <c r="C39"/>
  <c r="C40"/>
  <c r="C32"/>
  <c r="C31"/>
  <c r="E31" s="1"/>
  <c r="K32"/>
  <c r="AA31"/>
  <c r="AA32" s="1"/>
  <c r="K31"/>
  <c r="E17"/>
  <c r="F17" s="1"/>
  <c r="H17" s="1"/>
  <c r="K33"/>
  <c r="K34"/>
  <c r="K35"/>
  <c r="K36"/>
  <c r="K37"/>
  <c r="K38"/>
  <c r="K39"/>
  <c r="F39"/>
  <c r="H39" s="1"/>
  <c r="K40"/>
  <c r="K16"/>
  <c r="K30"/>
  <c r="C30"/>
  <c r="E30" s="1"/>
  <c r="F30" s="1"/>
  <c r="H30" s="1"/>
  <c r="K29"/>
  <c r="C29"/>
  <c r="E29" s="1"/>
  <c r="F29" s="1"/>
  <c r="K28"/>
  <c r="C28"/>
  <c r="E28" s="1"/>
  <c r="F28" s="1"/>
  <c r="H28" s="1"/>
  <c r="K27"/>
  <c r="C27"/>
  <c r="E27" s="1"/>
  <c r="F27" s="1"/>
  <c r="H27" s="1"/>
  <c r="K26"/>
  <c r="C26"/>
  <c r="E26" s="1"/>
  <c r="F26" s="1"/>
  <c r="H26" s="1"/>
  <c r="K25"/>
  <c r="C25"/>
  <c r="E25" s="1"/>
  <c r="F25" s="1"/>
  <c r="H25" s="1"/>
  <c r="K24"/>
  <c r="C24"/>
  <c r="E24" s="1"/>
  <c r="F24" s="1"/>
  <c r="H24" s="1"/>
  <c r="K23"/>
  <c r="C23"/>
  <c r="E23" s="1"/>
  <c r="F23" s="1"/>
  <c r="H23" s="1"/>
  <c r="K22"/>
  <c r="C22"/>
  <c r="E22" s="1"/>
  <c r="F22" s="1"/>
  <c r="H22" s="1"/>
  <c r="K21"/>
  <c r="C21"/>
  <c r="E21" s="1"/>
  <c r="F21" s="1"/>
  <c r="H21" s="1"/>
  <c r="K20"/>
  <c r="C20"/>
  <c r="E20" s="1"/>
  <c r="F20" s="1"/>
  <c r="H20" s="1"/>
  <c r="K19"/>
  <c r="C19"/>
  <c r="E19" s="1"/>
  <c r="F19" s="1"/>
  <c r="H19" s="1"/>
  <c r="K18"/>
  <c r="C18"/>
  <c r="E18" s="1"/>
  <c r="F18" s="1"/>
  <c r="H18" s="1"/>
  <c r="K17"/>
  <c r="K15"/>
  <c r="C15"/>
  <c r="E15" s="1"/>
  <c r="F15" s="1"/>
  <c r="H15" s="1"/>
  <c r="K14"/>
  <c r="C14"/>
  <c r="E14" s="1"/>
  <c r="F14" s="1"/>
  <c r="H14" s="1"/>
  <c r="K13"/>
  <c r="C13"/>
  <c r="E13" s="1"/>
  <c r="F13" s="1"/>
  <c r="H13" s="1"/>
  <c r="K12"/>
  <c r="C12"/>
  <c r="E12" s="1"/>
  <c r="F12" s="1"/>
  <c r="H12" s="1"/>
  <c r="K11"/>
  <c r="C11"/>
  <c r="E11" s="1"/>
  <c r="F11" s="1"/>
  <c r="H11" s="1"/>
  <c r="K10"/>
  <c r="C10"/>
  <c r="E10" s="1"/>
  <c r="F10" s="1"/>
  <c r="H10" s="1"/>
  <c r="K9"/>
  <c r="C9"/>
  <c r="E9" s="1"/>
  <c r="F9" s="1"/>
  <c r="H9" s="1"/>
  <c r="K8"/>
  <c r="C8"/>
  <c r="E8" s="1"/>
  <c r="F8" s="1"/>
  <c r="H8" s="1"/>
  <c r="K7"/>
  <c r="C7"/>
  <c r="E7" s="1"/>
  <c r="F7" s="1"/>
  <c r="H7" s="1"/>
  <c r="K6"/>
  <c r="J6"/>
  <c r="J7" s="1"/>
  <c r="J8" s="1"/>
  <c r="J9" s="1"/>
  <c r="J10" s="1"/>
  <c r="J11" s="1"/>
  <c r="J12" s="1"/>
  <c r="J13" s="1"/>
  <c r="J14" s="1"/>
  <c r="J15" s="1"/>
  <c r="C6"/>
  <c r="E6" s="1"/>
  <c r="F6" s="1"/>
  <c r="H6" s="1"/>
  <c r="K5"/>
  <c r="E5"/>
  <c r="F5" s="1"/>
  <c r="H5" s="1"/>
  <c r="L8" i="2"/>
  <c r="J7"/>
  <c r="J8" s="1"/>
  <c r="J9" s="1"/>
  <c r="J10" s="1"/>
  <c r="J11" s="1"/>
  <c r="J12" s="1"/>
  <c r="J13" s="1"/>
  <c r="J14" s="1"/>
  <c r="J15" s="1"/>
  <c r="K16"/>
  <c r="K17"/>
  <c r="K18"/>
  <c r="K19"/>
  <c r="K20"/>
  <c r="K21"/>
  <c r="L21" s="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6"/>
  <c r="K7"/>
  <c r="K8"/>
  <c r="K9"/>
  <c r="K10"/>
  <c r="K11"/>
  <c r="K12"/>
  <c r="K13"/>
  <c r="K14"/>
  <c r="K15"/>
  <c r="K5"/>
  <c r="J6"/>
  <c r="E7"/>
  <c r="F7" s="1"/>
  <c r="H7" s="1"/>
  <c r="L7" s="1"/>
  <c r="E23"/>
  <c r="F23" s="1"/>
  <c r="H23" s="1"/>
  <c r="L23" s="1"/>
  <c r="E25"/>
  <c r="F25" s="1"/>
  <c r="H25" s="1"/>
  <c r="L25" s="1"/>
  <c r="E37"/>
  <c r="F37" s="1"/>
  <c r="H37" s="1"/>
  <c r="L37" s="1"/>
  <c r="E38"/>
  <c r="E39"/>
  <c r="F39" s="1"/>
  <c r="H39" s="1"/>
  <c r="L39" s="1"/>
  <c r="C7"/>
  <c r="C8"/>
  <c r="E8" s="1"/>
  <c r="F8" s="1"/>
  <c r="H8" s="1"/>
  <c r="C9"/>
  <c r="E9" s="1"/>
  <c r="F9" s="1"/>
  <c r="H9" s="1"/>
  <c r="C10"/>
  <c r="E10" s="1"/>
  <c r="C11"/>
  <c r="E11" s="1"/>
  <c r="C12"/>
  <c r="E12" s="1"/>
  <c r="F12" s="1"/>
  <c r="H12" s="1"/>
  <c r="L12" s="1"/>
  <c r="C13"/>
  <c r="E13" s="1"/>
  <c r="F13" s="1"/>
  <c r="H13" s="1"/>
  <c r="L13" s="1"/>
  <c r="C14"/>
  <c r="E14" s="1"/>
  <c r="F14" s="1"/>
  <c r="H14" s="1"/>
  <c r="L14" s="1"/>
  <c r="C15"/>
  <c r="E15" s="1"/>
  <c r="C16"/>
  <c r="E16" s="1"/>
  <c r="F16" s="1"/>
  <c r="H16" s="1"/>
  <c r="L16" s="1"/>
  <c r="C17"/>
  <c r="E17" s="1"/>
  <c r="F17" s="1"/>
  <c r="H17" s="1"/>
  <c r="L17" s="1"/>
  <c r="C18"/>
  <c r="E18" s="1"/>
  <c r="C19"/>
  <c r="E19" s="1"/>
  <c r="C20"/>
  <c r="E20" s="1"/>
  <c r="C21"/>
  <c r="E21" s="1"/>
  <c r="F21" s="1"/>
  <c r="H21" s="1"/>
  <c r="C22"/>
  <c r="C23"/>
  <c r="C24"/>
  <c r="E24" s="1"/>
  <c r="F24" s="1"/>
  <c r="H24" s="1"/>
  <c r="L24" s="1"/>
  <c r="C25"/>
  <c r="C26"/>
  <c r="E26" s="1"/>
  <c r="C27"/>
  <c r="E27" s="1"/>
  <c r="C28"/>
  <c r="E28" s="1"/>
  <c r="F28" s="1"/>
  <c r="H28" s="1"/>
  <c r="L28" s="1"/>
  <c r="C29"/>
  <c r="E29" s="1"/>
  <c r="F29" s="1"/>
  <c r="H29" s="1"/>
  <c r="L29" s="1"/>
  <c r="C30"/>
  <c r="E30" s="1"/>
  <c r="F30" s="1"/>
  <c r="H30" s="1"/>
  <c r="L30" s="1"/>
  <c r="C31"/>
  <c r="C32"/>
  <c r="E32" s="1"/>
  <c r="F32" s="1"/>
  <c r="H32" s="1"/>
  <c r="L32" s="1"/>
  <c r="C33"/>
  <c r="E33" s="1"/>
  <c r="F33" s="1"/>
  <c r="H33" s="1"/>
  <c r="L33" s="1"/>
  <c r="C34"/>
  <c r="E34" s="1"/>
  <c r="C35"/>
  <c r="E35" s="1"/>
  <c r="C36"/>
  <c r="E36" s="1"/>
  <c r="F36" s="1"/>
  <c r="H36" s="1"/>
  <c r="L36" s="1"/>
  <c r="C37"/>
  <c r="C38"/>
  <c r="C39"/>
  <c r="C40"/>
  <c r="E40" s="1"/>
  <c r="F40" s="1"/>
  <c r="H40" s="1"/>
  <c r="L40" s="1"/>
  <c r="C6"/>
  <c r="E6" s="1"/>
  <c r="H5"/>
  <c r="I5" s="1"/>
  <c r="F5"/>
  <c r="E5"/>
  <c r="AC38" i="4"/>
  <c r="AC39"/>
  <c r="AC40"/>
  <c r="AC16"/>
  <c r="AA16"/>
  <c r="AA40" s="1"/>
  <c r="AA39" s="1"/>
  <c r="AA38" s="1"/>
  <c r="AA37" s="1"/>
  <c r="AA36" s="1"/>
  <c r="AA35" s="1"/>
  <c r="AA34" s="1"/>
  <c r="AA33" s="1"/>
  <c r="AA5"/>
  <c r="AA6" s="1"/>
  <c r="AA7" s="1"/>
  <c r="AA8" s="1"/>
  <c r="AA9" s="1"/>
  <c r="AA10" s="1"/>
  <c r="AA11" s="1"/>
  <c r="AA12" s="1"/>
  <c r="AA13" s="1"/>
  <c r="AA14" s="1"/>
  <c r="AA15" s="1"/>
  <c r="Y5"/>
  <c r="U6" s="1"/>
  <c r="T5"/>
  <c r="R5"/>
  <c r="S5" s="1"/>
  <c r="M18" i="2"/>
  <c r="M17"/>
  <c r="M16"/>
  <c r="F46" i="3"/>
  <c r="E37"/>
  <c r="E38"/>
  <c r="E39"/>
  <c r="E40"/>
  <c r="E4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6"/>
  <c r="X17" i="4" l="1"/>
  <c r="V17"/>
  <c r="W17" s="1"/>
  <c r="F35"/>
  <c r="H35" s="1"/>
  <c r="F36"/>
  <c r="H36" s="1"/>
  <c r="M36" s="1"/>
  <c r="F37"/>
  <c r="F31"/>
  <c r="H31" s="1"/>
  <c r="M31" s="1"/>
  <c r="L33"/>
  <c r="L16"/>
  <c r="L7"/>
  <c r="L19"/>
  <c r="L27"/>
  <c r="L20"/>
  <c r="L28"/>
  <c r="L6"/>
  <c r="L9"/>
  <c r="L32"/>
  <c r="L10"/>
  <c r="L34"/>
  <c r="L12"/>
  <c r="V5"/>
  <c r="W5" s="1"/>
  <c r="L14"/>
  <c r="H37"/>
  <c r="L24"/>
  <c r="H29"/>
  <c r="L29" s="1"/>
  <c r="L38"/>
  <c r="L18"/>
  <c r="L23"/>
  <c r="L26"/>
  <c r="L25"/>
  <c r="L21"/>
  <c r="L39"/>
  <c r="L30"/>
  <c r="L40"/>
  <c r="L36"/>
  <c r="L22"/>
  <c r="L17"/>
  <c r="L5"/>
  <c r="I5"/>
  <c r="I6" s="1"/>
  <c r="I7" s="1"/>
  <c r="I8" s="1"/>
  <c r="I9" s="1"/>
  <c r="I10" s="1"/>
  <c r="I11" s="1"/>
  <c r="I12" s="1"/>
  <c r="I13" s="1"/>
  <c r="I14" s="1"/>
  <c r="I15" s="1"/>
  <c r="I17" s="1"/>
  <c r="I18" s="1"/>
  <c r="I19" s="1"/>
  <c r="I20" s="1"/>
  <c r="I21" s="1"/>
  <c r="I22" s="1"/>
  <c r="I23" s="1"/>
  <c r="I24" s="1"/>
  <c r="I25" s="1"/>
  <c r="I26" s="1"/>
  <c r="I27" s="1"/>
  <c r="I28" s="1"/>
  <c r="L15"/>
  <c r="L8"/>
  <c r="L11"/>
  <c r="L13"/>
  <c r="L5" i="2"/>
  <c r="L9"/>
  <c r="F38"/>
  <c r="H38" s="1"/>
  <c r="L38" s="1"/>
  <c r="E31"/>
  <c r="F31" s="1"/>
  <c r="H31" s="1"/>
  <c r="L31" s="1"/>
  <c r="E22"/>
  <c r="F22" s="1"/>
  <c r="H22" s="1"/>
  <c r="L22" s="1"/>
  <c r="F15"/>
  <c r="H15" s="1"/>
  <c r="L15" s="1"/>
  <c r="F35"/>
  <c r="H35" s="1"/>
  <c r="L35" s="1"/>
  <c r="F27"/>
  <c r="H27" s="1"/>
  <c r="L27" s="1"/>
  <c r="F19"/>
  <c r="H19" s="1"/>
  <c r="L19" s="1"/>
  <c r="F11"/>
  <c r="H11" s="1"/>
  <c r="L11" s="1"/>
  <c r="F20"/>
  <c r="H20" s="1"/>
  <c r="L20" s="1"/>
  <c r="F34"/>
  <c r="H34" s="1"/>
  <c r="L34" s="1"/>
  <c r="F26"/>
  <c r="H26" s="1"/>
  <c r="L26" s="1"/>
  <c r="F18"/>
  <c r="H18" s="1"/>
  <c r="L18" s="1"/>
  <c r="F10"/>
  <c r="H10" s="1"/>
  <c r="L10" s="1"/>
  <c r="F6"/>
  <c r="H6" s="1"/>
  <c r="Y6" i="4"/>
  <c r="R6"/>
  <c r="S6" s="1"/>
  <c r="T6"/>
  <c r="X5"/>
  <c r="M46" i="3"/>
  <c r="P46"/>
  <c r="O46"/>
  <c r="N46"/>
  <c r="G4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6"/>
  <c r="D47" s="1"/>
  <c r="AD33" i="2"/>
  <c r="AD12"/>
  <c r="AD40"/>
  <c r="AD23"/>
  <c r="AD21"/>
  <c r="AD19"/>
  <c r="AD18"/>
  <c r="AD17"/>
  <c r="AD16"/>
  <c r="AA41"/>
  <c r="R41"/>
  <c r="S5"/>
  <c r="T5" s="1"/>
  <c r="U5"/>
  <c r="Z5"/>
  <c r="V6" s="1"/>
  <c r="Z6" s="1"/>
  <c r="V7" s="1"/>
  <c r="Z7" s="1"/>
  <c r="Y7" s="1"/>
  <c r="Q20" i="3" l="1"/>
  <c r="O20"/>
  <c r="D61"/>
  <c r="S20"/>
  <c r="P20"/>
  <c r="V20"/>
  <c r="N20"/>
  <c r="U20"/>
  <c r="T20"/>
  <c r="R20"/>
  <c r="T37"/>
  <c r="S37"/>
  <c r="R37"/>
  <c r="V37"/>
  <c r="U37"/>
  <c r="Q37"/>
  <c r="N37"/>
  <c r="D78"/>
  <c r="P37"/>
  <c r="O37"/>
  <c r="O13"/>
  <c r="U13"/>
  <c r="N13"/>
  <c r="V13"/>
  <c r="Q13"/>
  <c r="P13"/>
  <c r="T13"/>
  <c r="D54"/>
  <c r="S13"/>
  <c r="R13"/>
  <c r="Q22"/>
  <c r="O22"/>
  <c r="D63"/>
  <c r="P22"/>
  <c r="N22"/>
  <c r="S22"/>
  <c r="R22"/>
  <c r="V22"/>
  <c r="U22"/>
  <c r="T22"/>
  <c r="T39"/>
  <c r="U39"/>
  <c r="S39"/>
  <c r="N39"/>
  <c r="D80"/>
  <c r="R39"/>
  <c r="O39"/>
  <c r="Q39"/>
  <c r="P39"/>
  <c r="V39"/>
  <c r="T31"/>
  <c r="S31"/>
  <c r="N31"/>
  <c r="D72"/>
  <c r="R31"/>
  <c r="V31"/>
  <c r="U31"/>
  <c r="Q31"/>
  <c r="P31"/>
  <c r="O31"/>
  <c r="Q23"/>
  <c r="N23"/>
  <c r="T23"/>
  <c r="S23"/>
  <c r="P23"/>
  <c r="D64"/>
  <c r="O23"/>
  <c r="V23"/>
  <c r="U23"/>
  <c r="R23"/>
  <c r="O15"/>
  <c r="N15"/>
  <c r="V15"/>
  <c r="P15"/>
  <c r="D56"/>
  <c r="R15"/>
  <c r="U15"/>
  <c r="T15"/>
  <c r="Q15"/>
  <c r="S15"/>
  <c r="U7"/>
  <c r="T7"/>
  <c r="S7"/>
  <c r="P7"/>
  <c r="O7"/>
  <c r="R7"/>
  <c r="Q7"/>
  <c r="D48"/>
  <c r="V7"/>
  <c r="T40"/>
  <c r="N40"/>
  <c r="D81"/>
  <c r="R40"/>
  <c r="S40"/>
  <c r="V40"/>
  <c r="U40"/>
  <c r="Q40"/>
  <c r="P40"/>
  <c r="O40"/>
  <c r="T32"/>
  <c r="N32"/>
  <c r="D73"/>
  <c r="R32"/>
  <c r="O32"/>
  <c r="V32"/>
  <c r="S32"/>
  <c r="Q32"/>
  <c r="P32"/>
  <c r="U32"/>
  <c r="Q24"/>
  <c r="D65"/>
  <c r="O24"/>
  <c r="R24"/>
  <c r="P24"/>
  <c r="N24"/>
  <c r="V24"/>
  <c r="U24"/>
  <c r="T24"/>
  <c r="S24"/>
  <c r="P16"/>
  <c r="D57"/>
  <c r="N16"/>
  <c r="O16"/>
  <c r="V16"/>
  <c r="R16"/>
  <c r="Q16"/>
  <c r="U16"/>
  <c r="T16"/>
  <c r="S16"/>
  <c r="U8"/>
  <c r="D49"/>
  <c r="S8"/>
  <c r="T8"/>
  <c r="V8"/>
  <c r="R8"/>
  <c r="Q8"/>
  <c r="P8"/>
  <c r="O8"/>
  <c r="T36"/>
  <c r="R36"/>
  <c r="D77"/>
  <c r="O36"/>
  <c r="U36"/>
  <c r="S36"/>
  <c r="Q36"/>
  <c r="P36"/>
  <c r="N36"/>
  <c r="V36"/>
  <c r="O12"/>
  <c r="R12"/>
  <c r="P12"/>
  <c r="V12"/>
  <c r="U12"/>
  <c r="T12"/>
  <c r="N12"/>
  <c r="S12"/>
  <c r="D53"/>
  <c r="Q12"/>
  <c r="Q21"/>
  <c r="T21"/>
  <c r="R21"/>
  <c r="P21"/>
  <c r="O21"/>
  <c r="N21"/>
  <c r="V21"/>
  <c r="D62"/>
  <c r="U21"/>
  <c r="S21"/>
  <c r="T30"/>
  <c r="R30"/>
  <c r="N30"/>
  <c r="O30"/>
  <c r="U30"/>
  <c r="S30"/>
  <c r="D71"/>
  <c r="Q30"/>
  <c r="P30"/>
  <c r="V30"/>
  <c r="T34"/>
  <c r="R34"/>
  <c r="O34"/>
  <c r="N34"/>
  <c r="S34"/>
  <c r="V34"/>
  <c r="U34"/>
  <c r="Q34"/>
  <c r="P34"/>
  <c r="D75"/>
  <c r="T26"/>
  <c r="R26"/>
  <c r="O26"/>
  <c r="V26"/>
  <c r="S26"/>
  <c r="N26"/>
  <c r="D67"/>
  <c r="Q26"/>
  <c r="P26"/>
  <c r="U26"/>
  <c r="Q18"/>
  <c r="O18"/>
  <c r="N18"/>
  <c r="D59"/>
  <c r="R18"/>
  <c r="P18"/>
  <c r="V18"/>
  <c r="U18"/>
  <c r="T18"/>
  <c r="S18"/>
  <c r="O10"/>
  <c r="R10"/>
  <c r="V10"/>
  <c r="U10"/>
  <c r="Q10"/>
  <c r="T10"/>
  <c r="S10"/>
  <c r="N10"/>
  <c r="D51"/>
  <c r="P10"/>
  <c r="T28"/>
  <c r="R28"/>
  <c r="O28"/>
  <c r="S28"/>
  <c r="V28"/>
  <c r="U28"/>
  <c r="Q28"/>
  <c r="P28"/>
  <c r="N28"/>
  <c r="D69"/>
  <c r="T29"/>
  <c r="V29"/>
  <c r="S29"/>
  <c r="R29"/>
  <c r="Q29"/>
  <c r="N29"/>
  <c r="D70"/>
  <c r="P29"/>
  <c r="O29"/>
  <c r="U29"/>
  <c r="T38"/>
  <c r="R38"/>
  <c r="D79"/>
  <c r="O38"/>
  <c r="V38"/>
  <c r="S38"/>
  <c r="N38"/>
  <c r="Q38"/>
  <c r="P38"/>
  <c r="U38"/>
  <c r="O14"/>
  <c r="D55"/>
  <c r="R14"/>
  <c r="Q14"/>
  <c r="V14"/>
  <c r="N14"/>
  <c r="U14"/>
  <c r="T14"/>
  <c r="S14"/>
  <c r="P14"/>
  <c r="T41"/>
  <c r="O41"/>
  <c r="V41"/>
  <c r="N41"/>
  <c r="S41"/>
  <c r="R41"/>
  <c r="D82"/>
  <c r="Q41"/>
  <c r="P41"/>
  <c r="U41"/>
  <c r="T33"/>
  <c r="U33"/>
  <c r="D74"/>
  <c r="S33"/>
  <c r="R33"/>
  <c r="Q33"/>
  <c r="P33"/>
  <c r="O33"/>
  <c r="V33"/>
  <c r="N33"/>
  <c r="T25"/>
  <c r="S25"/>
  <c r="R25"/>
  <c r="V25"/>
  <c r="U25"/>
  <c r="D66"/>
  <c r="P25"/>
  <c r="O25"/>
  <c r="N25"/>
  <c r="Q25"/>
  <c r="P17"/>
  <c r="J19" i="5" s="1"/>
  <c r="T17" i="3"/>
  <c r="R17"/>
  <c r="O17"/>
  <c r="D58"/>
  <c r="V17"/>
  <c r="U17"/>
  <c r="N17"/>
  <c r="Q17"/>
  <c r="J11" i="5" s="1"/>
  <c r="S17" i="3"/>
  <c r="O9"/>
  <c r="R9"/>
  <c r="P9"/>
  <c r="D50"/>
  <c r="V9"/>
  <c r="U9"/>
  <c r="T9"/>
  <c r="S9"/>
  <c r="Q9"/>
  <c r="T35"/>
  <c r="N35"/>
  <c r="V35"/>
  <c r="S35"/>
  <c r="R35"/>
  <c r="D76"/>
  <c r="Q35"/>
  <c r="P35"/>
  <c r="O35"/>
  <c r="U35"/>
  <c r="T27"/>
  <c r="D68"/>
  <c r="U27"/>
  <c r="S27"/>
  <c r="R27"/>
  <c r="Q27"/>
  <c r="P27"/>
  <c r="O27"/>
  <c r="N27"/>
  <c r="V27"/>
  <c r="Q19"/>
  <c r="T19"/>
  <c r="P19"/>
  <c r="O19"/>
  <c r="S19"/>
  <c r="R19"/>
  <c r="V19"/>
  <c r="U19"/>
  <c r="N19"/>
  <c r="D60"/>
  <c r="O11"/>
  <c r="U11"/>
  <c r="D52"/>
  <c r="Q11"/>
  <c r="V11"/>
  <c r="P11"/>
  <c r="T11"/>
  <c r="S11"/>
  <c r="N11"/>
  <c r="R11"/>
  <c r="L37" i="4"/>
  <c r="M37"/>
  <c r="L35"/>
  <c r="M35"/>
  <c r="L31"/>
  <c r="I29"/>
  <c r="I30" s="1"/>
  <c r="I16" s="1"/>
  <c r="I40" s="1"/>
  <c r="I39" s="1"/>
  <c r="I38" s="1"/>
  <c r="I37" s="1"/>
  <c r="I36" s="1"/>
  <c r="I35" s="1"/>
  <c r="I34" s="1"/>
  <c r="I33" s="1"/>
  <c r="I6" i="2"/>
  <c r="I7" s="1"/>
  <c r="I8" s="1"/>
  <c r="L6"/>
  <c r="U7" i="4"/>
  <c r="V6"/>
  <c r="W6" s="1"/>
  <c r="X6"/>
  <c r="F39" i="3"/>
  <c r="M39"/>
  <c r="L39"/>
  <c r="K39"/>
  <c r="J39"/>
  <c r="I39"/>
  <c r="H39"/>
  <c r="G39"/>
  <c r="G23"/>
  <c r="F23"/>
  <c r="L23"/>
  <c r="K23"/>
  <c r="J23"/>
  <c r="I23"/>
  <c r="H23"/>
  <c r="M23"/>
  <c r="G15"/>
  <c r="F15"/>
  <c r="L15"/>
  <c r="K15"/>
  <c r="I15"/>
  <c r="J15"/>
  <c r="H15"/>
  <c r="M15"/>
  <c r="I7"/>
  <c r="H7"/>
  <c r="G7"/>
  <c r="F7"/>
  <c r="N7"/>
  <c r="M7"/>
  <c r="L7"/>
  <c r="K7"/>
  <c r="J7"/>
  <c r="G40"/>
  <c r="F40"/>
  <c r="M40"/>
  <c r="L40"/>
  <c r="K40"/>
  <c r="J40"/>
  <c r="I40"/>
  <c r="H40"/>
  <c r="H32"/>
  <c r="G32"/>
  <c r="F32"/>
  <c r="M32"/>
  <c r="L32"/>
  <c r="K32"/>
  <c r="J32"/>
  <c r="I32"/>
  <c r="H24"/>
  <c r="G24"/>
  <c r="F24"/>
  <c r="M24"/>
  <c r="L24"/>
  <c r="J24"/>
  <c r="K24"/>
  <c r="I24"/>
  <c r="H16"/>
  <c r="G16"/>
  <c r="F16"/>
  <c r="M16"/>
  <c r="L16"/>
  <c r="K16"/>
  <c r="J16"/>
  <c r="I16"/>
  <c r="J8"/>
  <c r="I8"/>
  <c r="H8"/>
  <c r="G8"/>
  <c r="F8"/>
  <c r="N8"/>
  <c r="M8"/>
  <c r="L8"/>
  <c r="K8"/>
  <c r="H41"/>
  <c r="G41"/>
  <c r="F41"/>
  <c r="M41"/>
  <c r="L41"/>
  <c r="K41"/>
  <c r="J41"/>
  <c r="I41"/>
  <c r="I33"/>
  <c r="H33"/>
  <c r="F33"/>
  <c r="M33"/>
  <c r="L33"/>
  <c r="K33"/>
  <c r="J33"/>
  <c r="G33"/>
  <c r="I25"/>
  <c r="H25"/>
  <c r="F25"/>
  <c r="M25"/>
  <c r="L25"/>
  <c r="K25"/>
  <c r="J25"/>
  <c r="G25"/>
  <c r="I17"/>
  <c r="H17"/>
  <c r="G17"/>
  <c r="F17"/>
  <c r="M17"/>
  <c r="L17"/>
  <c r="K17"/>
  <c r="J17"/>
  <c r="J6"/>
  <c r="I6"/>
  <c r="G6"/>
  <c r="V6"/>
  <c r="N6"/>
  <c r="F6"/>
  <c r="U6"/>
  <c r="M6"/>
  <c r="L6"/>
  <c r="K6"/>
  <c r="H6"/>
  <c r="I34"/>
  <c r="H34"/>
  <c r="G34"/>
  <c r="F34"/>
  <c r="M34"/>
  <c r="L34"/>
  <c r="K34"/>
  <c r="J34"/>
  <c r="J26"/>
  <c r="I26"/>
  <c r="H26"/>
  <c r="G26"/>
  <c r="F26"/>
  <c r="M26"/>
  <c r="L26"/>
  <c r="K26"/>
  <c r="J18"/>
  <c r="I18"/>
  <c r="H18"/>
  <c r="G18"/>
  <c r="F18"/>
  <c r="M18"/>
  <c r="L18"/>
  <c r="K18"/>
  <c r="J35"/>
  <c r="I35"/>
  <c r="H35"/>
  <c r="G35"/>
  <c r="F35"/>
  <c r="M35"/>
  <c r="L35"/>
  <c r="K35"/>
  <c r="K27"/>
  <c r="J27"/>
  <c r="I27"/>
  <c r="H27"/>
  <c r="G27"/>
  <c r="F27"/>
  <c r="M27"/>
  <c r="L27"/>
  <c r="K19"/>
  <c r="J19"/>
  <c r="I19"/>
  <c r="H19"/>
  <c r="G19"/>
  <c r="F19"/>
  <c r="M19"/>
  <c r="L19"/>
  <c r="K11"/>
  <c r="J11"/>
  <c r="I11"/>
  <c r="H11"/>
  <c r="G11"/>
  <c r="F11"/>
  <c r="M11"/>
  <c r="L11"/>
  <c r="K36"/>
  <c r="J36"/>
  <c r="I36"/>
  <c r="H36"/>
  <c r="G36"/>
  <c r="M36"/>
  <c r="F36"/>
  <c r="L36"/>
  <c r="L28"/>
  <c r="K28"/>
  <c r="I28"/>
  <c r="H28"/>
  <c r="G28"/>
  <c r="F28"/>
  <c r="M28"/>
  <c r="J28"/>
  <c r="L20"/>
  <c r="K20"/>
  <c r="J20"/>
  <c r="I20"/>
  <c r="H20"/>
  <c r="F20"/>
  <c r="G20"/>
  <c r="M20"/>
  <c r="L12"/>
  <c r="K12"/>
  <c r="J12"/>
  <c r="I12"/>
  <c r="H12"/>
  <c r="G12"/>
  <c r="F12"/>
  <c r="M12"/>
  <c r="M21"/>
  <c r="L21"/>
  <c r="J21"/>
  <c r="I21"/>
  <c r="H21"/>
  <c r="G21"/>
  <c r="F21"/>
  <c r="K21"/>
  <c r="G31"/>
  <c r="F31"/>
  <c r="L31"/>
  <c r="K31"/>
  <c r="J31"/>
  <c r="K18" i="5" s="1"/>
  <c r="I31" i="3"/>
  <c r="K9" i="5" s="1"/>
  <c r="H31" i="3"/>
  <c r="K10" i="5" s="1"/>
  <c r="M31" i="3"/>
  <c r="L37"/>
  <c r="K37"/>
  <c r="J37"/>
  <c r="I37"/>
  <c r="H37"/>
  <c r="G37"/>
  <c r="F37"/>
  <c r="M37"/>
  <c r="M29"/>
  <c r="L29"/>
  <c r="K29"/>
  <c r="J29"/>
  <c r="I29"/>
  <c r="H29"/>
  <c r="G29"/>
  <c r="F29"/>
  <c r="M13"/>
  <c r="L13"/>
  <c r="K13"/>
  <c r="J13"/>
  <c r="I13"/>
  <c r="H13"/>
  <c r="G13"/>
  <c r="F13"/>
  <c r="M38"/>
  <c r="L38"/>
  <c r="K38"/>
  <c r="J38"/>
  <c r="I38"/>
  <c r="H38"/>
  <c r="G38"/>
  <c r="F38"/>
  <c r="F30"/>
  <c r="M30"/>
  <c r="L30"/>
  <c r="K30"/>
  <c r="J30"/>
  <c r="I30"/>
  <c r="H30"/>
  <c r="G30"/>
  <c r="F22"/>
  <c r="M22"/>
  <c r="L22"/>
  <c r="K22"/>
  <c r="J22"/>
  <c r="I22"/>
  <c r="H22"/>
  <c r="G22"/>
  <c r="F14"/>
  <c r="M14"/>
  <c r="L14"/>
  <c r="K14"/>
  <c r="J14"/>
  <c r="I14"/>
  <c r="H14"/>
  <c r="G14"/>
  <c r="I10"/>
  <c r="H10"/>
  <c r="G10"/>
  <c r="K10"/>
  <c r="F10"/>
  <c r="M10"/>
  <c r="L10"/>
  <c r="J10"/>
  <c r="G9"/>
  <c r="I9"/>
  <c r="F9"/>
  <c r="N9"/>
  <c r="J9"/>
  <c r="H9"/>
  <c r="M9"/>
  <c r="L9"/>
  <c r="K9"/>
  <c r="I46"/>
  <c r="S46"/>
  <c r="J46"/>
  <c r="R46"/>
  <c r="L46"/>
  <c r="K46"/>
  <c r="Q46"/>
  <c r="H46"/>
  <c r="T46"/>
  <c r="T6"/>
  <c r="P6"/>
  <c r="Q6"/>
  <c r="O6"/>
  <c r="S6"/>
  <c r="R6"/>
  <c r="W6" i="2"/>
  <c r="X6" s="1"/>
  <c r="U6"/>
  <c r="S7"/>
  <c r="T7" s="1"/>
  <c r="U7"/>
  <c r="Y6"/>
  <c r="V8"/>
  <c r="Z8" s="1"/>
  <c r="W7"/>
  <c r="X7" s="1"/>
  <c r="Y5"/>
  <c r="W5"/>
  <c r="X5" s="1"/>
  <c r="S6"/>
  <c r="T6" s="1"/>
  <c r="L10" i="5" l="1"/>
  <c r="K13"/>
  <c r="J10"/>
  <c r="I10"/>
  <c r="K16"/>
  <c r="L20"/>
  <c r="I12"/>
  <c r="J8"/>
  <c r="K17"/>
  <c r="J9"/>
  <c r="L15"/>
  <c r="I17"/>
  <c r="L11"/>
  <c r="K11"/>
  <c r="K12"/>
  <c r="L18"/>
  <c r="J16"/>
  <c r="I13"/>
  <c r="L19"/>
  <c r="K19"/>
  <c r="I16"/>
  <c r="L9"/>
  <c r="I19"/>
  <c r="K8"/>
  <c r="J12"/>
  <c r="K20"/>
  <c r="L16"/>
  <c r="J20"/>
  <c r="I15"/>
  <c r="L13"/>
  <c r="J17"/>
  <c r="I20"/>
  <c r="L8"/>
  <c r="K15"/>
  <c r="L17"/>
  <c r="J15"/>
  <c r="I18"/>
  <c r="I9"/>
  <c r="I11"/>
  <c r="I8"/>
  <c r="L12"/>
  <c r="J18"/>
  <c r="J13"/>
  <c r="I31" i="4"/>
  <c r="I32" s="1"/>
  <c r="I9" i="2"/>
  <c r="T7" i="4"/>
  <c r="Y7"/>
  <c r="R7"/>
  <c r="S7" s="1"/>
  <c r="M5" i="3"/>
  <c r="F5"/>
  <c r="Q5"/>
  <c r="K5"/>
  <c r="P5"/>
  <c r="S5"/>
  <c r="G5"/>
  <c r="H5"/>
  <c r="O5"/>
  <c r="R5"/>
  <c r="N5"/>
  <c r="L5"/>
  <c r="T5"/>
  <c r="I5"/>
  <c r="J5"/>
  <c r="Y8" i="2"/>
  <c r="W8"/>
  <c r="X8" s="1"/>
  <c r="V9"/>
  <c r="U8"/>
  <c r="S8"/>
  <c r="T8" s="1"/>
  <c r="I10" l="1"/>
  <c r="U8" i="4"/>
  <c r="V7"/>
  <c r="W7" s="1"/>
  <c r="X7"/>
  <c r="Z9" i="2"/>
  <c r="S9"/>
  <c r="T9" s="1"/>
  <c r="U9"/>
  <c r="I11" l="1"/>
  <c r="T8" i="4"/>
  <c r="Y8"/>
  <c r="R8"/>
  <c r="S8" s="1"/>
  <c r="Y9" i="2"/>
  <c r="V10"/>
  <c r="W9"/>
  <c r="X9" s="1"/>
  <c r="I12" l="1"/>
  <c r="U9" i="4"/>
  <c r="V8"/>
  <c r="W8" s="1"/>
  <c r="X8"/>
  <c r="Z10" i="2"/>
  <c r="U10"/>
  <c r="S10"/>
  <c r="T10" s="1"/>
  <c r="I13" l="1"/>
  <c r="Y9" i="4"/>
  <c r="T9"/>
  <c r="R9"/>
  <c r="S9" s="1"/>
  <c r="V11" i="2"/>
  <c r="Y10"/>
  <c r="W10"/>
  <c r="X10" s="1"/>
  <c r="I14" l="1"/>
  <c r="V9" i="4"/>
  <c r="W9" s="1"/>
  <c r="U10"/>
  <c r="X9"/>
  <c r="Z11" i="2"/>
  <c r="S11"/>
  <c r="T11" s="1"/>
  <c r="U11"/>
  <c r="I15" l="1"/>
  <c r="Y10" i="4"/>
  <c r="R10"/>
  <c r="S10" s="1"/>
  <c r="T10"/>
  <c r="W11" i="2"/>
  <c r="X11" s="1"/>
  <c r="Y11"/>
  <c r="V12"/>
  <c r="I16" l="1"/>
  <c r="X10" i="4"/>
  <c r="V10"/>
  <c r="W10" s="1"/>
  <c r="U11"/>
  <c r="Z12" i="2"/>
  <c r="U12"/>
  <c r="S12"/>
  <c r="T12" s="1"/>
  <c r="I17" l="1"/>
  <c r="Y11" i="4"/>
  <c r="R11"/>
  <c r="S11" s="1"/>
  <c r="T11"/>
  <c r="Y12" i="2"/>
  <c r="V13"/>
  <c r="W12"/>
  <c r="X12" s="1"/>
  <c r="I18" l="1"/>
  <c r="V11" i="4"/>
  <c r="W11" s="1"/>
  <c r="U12"/>
  <c r="X11"/>
  <c r="Z13" i="2"/>
  <c r="S13"/>
  <c r="T13" s="1"/>
  <c r="U13"/>
  <c r="I19" l="1"/>
  <c r="T12" i="4"/>
  <c r="Y12"/>
  <c r="R12"/>
  <c r="S12" s="1"/>
  <c r="W13" i="2"/>
  <c r="X13" s="1"/>
  <c r="Y13"/>
  <c r="V14"/>
  <c r="I20" l="1"/>
  <c r="V12" i="4"/>
  <c r="W12" s="1"/>
  <c r="U13"/>
  <c r="X12"/>
  <c r="Z14" i="2"/>
  <c r="U14"/>
  <c r="S14"/>
  <c r="T14" s="1"/>
  <c r="I21" l="1"/>
  <c r="R13" i="4"/>
  <c r="S13" s="1"/>
  <c r="T13"/>
  <c r="Y13"/>
  <c r="W14" i="2"/>
  <c r="X14" s="1"/>
  <c r="V15"/>
  <c r="Y14"/>
  <c r="I22" l="1"/>
  <c r="U14" i="4"/>
  <c r="V13"/>
  <c r="W13" s="1"/>
  <c r="X13"/>
  <c r="Z15" i="2"/>
  <c r="U15"/>
  <c r="S15"/>
  <c r="T15" s="1"/>
  <c r="I23" l="1"/>
  <c r="Y14" i="4"/>
  <c r="R14"/>
  <c r="S14" s="1"/>
  <c r="T14"/>
  <c r="V16" i="2"/>
  <c r="W15"/>
  <c r="X15" s="1"/>
  <c r="Y15"/>
  <c r="I24" l="1"/>
  <c r="U15" i="4"/>
  <c r="X14"/>
  <c r="V14"/>
  <c r="W14" s="1"/>
  <c r="U16" i="2"/>
  <c r="Z16"/>
  <c r="V17" s="1"/>
  <c r="S17" s="1"/>
  <c r="T17" s="1"/>
  <c r="S16"/>
  <c r="T16" s="1"/>
  <c r="I25" l="1"/>
  <c r="Y15" i="4"/>
  <c r="R15"/>
  <c r="S15" s="1"/>
  <c r="T15"/>
  <c r="Z17" i="2"/>
  <c r="Y17" s="1"/>
  <c r="U17"/>
  <c r="Y16"/>
  <c r="W16"/>
  <c r="X16" s="1"/>
  <c r="R17" i="4" l="1"/>
  <c r="S17" s="1"/>
  <c r="I26" i="2"/>
  <c r="X15" i="4"/>
  <c r="V15"/>
  <c r="W15" s="1"/>
  <c r="V18" i="2"/>
  <c r="U18" s="1"/>
  <c r="W17"/>
  <c r="X17" s="1"/>
  <c r="I27" l="1"/>
  <c r="Z18"/>
  <c r="Y18" s="1"/>
  <c r="S18"/>
  <c r="T18" s="1"/>
  <c r="I28" l="1"/>
  <c r="V19"/>
  <c r="U19" s="1"/>
  <c r="W18"/>
  <c r="X18" s="1"/>
  <c r="I29" l="1"/>
  <c r="Z19"/>
  <c r="V20" s="1"/>
  <c r="S19"/>
  <c r="T19" s="1"/>
  <c r="I30" l="1"/>
  <c r="W19"/>
  <c r="X19" s="1"/>
  <c r="Y19"/>
  <c r="Z20"/>
  <c r="S20"/>
  <c r="T20" s="1"/>
  <c r="U20"/>
  <c r="I31" l="1"/>
  <c r="W20"/>
  <c r="X20" s="1"/>
  <c r="Y20"/>
  <c r="V21"/>
  <c r="I32" l="1"/>
  <c r="S21"/>
  <c r="T21" s="1"/>
  <c r="Z21"/>
  <c r="U21"/>
  <c r="I33" l="1"/>
  <c r="Y21"/>
  <c r="V22"/>
  <c r="W21"/>
  <c r="X21" s="1"/>
  <c r="I34" l="1"/>
  <c r="S22"/>
  <c r="T22" s="1"/>
  <c r="Z22"/>
  <c r="U22"/>
  <c r="I35" l="1"/>
  <c r="Y22"/>
  <c r="V23"/>
  <c r="W22"/>
  <c r="X22" s="1"/>
  <c r="I36" l="1"/>
  <c r="S23"/>
  <c r="T23" s="1"/>
  <c r="Z23"/>
  <c r="U23"/>
  <c r="I37" l="1"/>
  <c r="V24"/>
  <c r="W23"/>
  <c r="X23" s="1"/>
  <c r="Y23"/>
  <c r="I38" l="1"/>
  <c r="S24"/>
  <c r="T24" s="1"/>
  <c r="U24"/>
  <c r="Z24"/>
  <c r="V25" s="1"/>
  <c r="I39" l="1"/>
  <c r="U25"/>
  <c r="Z25"/>
  <c r="S25"/>
  <c r="T25" s="1"/>
  <c r="W24"/>
  <c r="X24" s="1"/>
  <c r="Y24"/>
  <c r="I40" l="1"/>
  <c r="Y25"/>
  <c r="V26"/>
  <c r="Z26" s="1"/>
  <c r="W25"/>
  <c r="X25" s="1"/>
  <c r="S26" l="1"/>
  <c r="T26" s="1"/>
  <c r="U26"/>
  <c r="W26"/>
  <c r="X26" s="1"/>
  <c r="Y26"/>
  <c r="V27"/>
  <c r="S27" l="1"/>
  <c r="T27" s="1"/>
  <c r="U27"/>
  <c r="Z27"/>
  <c r="V28" l="1"/>
  <c r="W27"/>
  <c r="X27" s="1"/>
  <c r="Y27"/>
  <c r="S28" l="1"/>
  <c r="T28" s="1"/>
  <c r="Z28"/>
  <c r="U28"/>
  <c r="W28" l="1"/>
  <c r="X28" s="1"/>
  <c r="Y28"/>
  <c r="V29"/>
  <c r="S29" l="1"/>
  <c r="T29" s="1"/>
  <c r="Z29"/>
  <c r="U29"/>
  <c r="V30" l="1"/>
  <c r="Y29"/>
  <c r="W29"/>
  <c r="X29" s="1"/>
  <c r="S30" l="1"/>
  <c r="T30" s="1"/>
  <c r="U30"/>
  <c r="Z30"/>
  <c r="V31" l="1"/>
  <c r="W30"/>
  <c r="X30" s="1"/>
  <c r="Y30"/>
  <c r="U18" i="4" l="1"/>
  <c r="S31" i="2"/>
  <c r="T31" s="1"/>
  <c r="U31"/>
  <c r="Z31"/>
  <c r="Y18" i="4" l="1"/>
  <c r="R18"/>
  <c r="S18" s="1"/>
  <c r="T18"/>
  <c r="Y31" i="2"/>
  <c r="W31"/>
  <c r="X31" s="1"/>
  <c r="V32"/>
  <c r="U19" i="4" l="1"/>
  <c r="V18"/>
  <c r="W18" s="1"/>
  <c r="X18"/>
  <c r="Z32" i="2"/>
  <c r="S32"/>
  <c r="T32" s="1"/>
  <c r="U32"/>
  <c r="Y19" i="4" l="1"/>
  <c r="T19"/>
  <c r="R19"/>
  <c r="S19" s="1"/>
  <c r="Y32" i="2"/>
  <c r="W32"/>
  <c r="X32" s="1"/>
  <c r="V33"/>
  <c r="V19" i="4" l="1"/>
  <c r="W19" s="1"/>
  <c r="X19"/>
  <c r="U20"/>
  <c r="Z33" i="2"/>
  <c r="S33"/>
  <c r="T33" s="1"/>
  <c r="U33"/>
  <c r="Y20" i="4" l="1"/>
  <c r="R20"/>
  <c r="S20" s="1"/>
  <c r="T20"/>
  <c r="Y33" i="2"/>
  <c r="W33"/>
  <c r="X33" s="1"/>
  <c r="V34"/>
  <c r="Z34" s="1"/>
  <c r="V35" s="1"/>
  <c r="Z35" s="1"/>
  <c r="X20" i="4" l="1"/>
  <c r="U21"/>
  <c r="V20"/>
  <c r="W20" s="1"/>
  <c r="S34" i="2"/>
  <c r="T34" s="1"/>
  <c r="U34"/>
  <c r="T21" i="4" l="1"/>
  <c r="Y21"/>
  <c r="R21"/>
  <c r="S21" s="1"/>
  <c r="W34" i="2"/>
  <c r="X34" s="1"/>
  <c r="Y34"/>
  <c r="X21" i="4" l="1"/>
  <c r="U22"/>
  <c r="V21"/>
  <c r="W21" s="1"/>
  <c r="S35" i="2"/>
  <c r="T35" s="1"/>
  <c r="V36"/>
  <c r="Z36" s="1"/>
  <c r="U35"/>
  <c r="T22" i="4" l="1"/>
  <c r="Y22"/>
  <c r="R22"/>
  <c r="S22" s="1"/>
  <c r="Y35" i="2"/>
  <c r="W35"/>
  <c r="X35" s="1"/>
  <c r="X22" i="4" l="1"/>
  <c r="U23"/>
  <c r="V22"/>
  <c r="W22" s="1"/>
  <c r="V37" i="2"/>
  <c r="Z37" s="1"/>
  <c r="S36"/>
  <c r="T36" s="1"/>
  <c r="U36"/>
  <c r="Y23" i="4" l="1"/>
  <c r="T23"/>
  <c r="R23"/>
  <c r="S23" s="1"/>
  <c r="Y36" i="2"/>
  <c r="W36"/>
  <c r="X36" s="1"/>
  <c r="X23" i="4" l="1"/>
  <c r="U24"/>
  <c r="V23"/>
  <c r="W23" s="1"/>
  <c r="S37" i="2"/>
  <c r="T37" s="1"/>
  <c r="V38"/>
  <c r="Z38" s="1"/>
  <c r="U37"/>
  <c r="R24" i="4" l="1"/>
  <c r="S24" s="1"/>
  <c r="Y24"/>
  <c r="T24"/>
  <c r="Y37" i="2"/>
  <c r="W37"/>
  <c r="X37" s="1"/>
  <c r="V24" i="4" l="1"/>
  <c r="W24" s="1"/>
  <c r="X24"/>
  <c r="U25"/>
  <c r="S38" i="2"/>
  <c r="T38" s="1"/>
  <c r="V39"/>
  <c r="Z39" s="1"/>
  <c r="U38"/>
  <c r="Y25" i="4" l="1"/>
  <c r="R25"/>
  <c r="S25" s="1"/>
  <c r="T25"/>
  <c r="W38" i="2"/>
  <c r="X38" s="1"/>
  <c r="Y38"/>
  <c r="V25" i="4" l="1"/>
  <c r="W25" s="1"/>
  <c r="X25"/>
  <c r="U26"/>
  <c r="S39" i="2"/>
  <c r="T39" s="1"/>
  <c r="U39"/>
  <c r="V40"/>
  <c r="Z40" s="1"/>
  <c r="R26" i="4" l="1"/>
  <c r="S26" s="1"/>
  <c r="Y26"/>
  <c r="T26"/>
  <c r="Y39" i="2"/>
  <c r="W39"/>
  <c r="X39" s="1"/>
  <c r="V26" i="4" l="1"/>
  <c r="W26" s="1"/>
  <c r="X26"/>
  <c r="U27"/>
  <c r="S40" i="2"/>
  <c r="T40" s="1"/>
  <c r="U40"/>
  <c r="Y27" i="4" l="1"/>
  <c r="R27"/>
  <c r="S27" s="1"/>
  <c r="T27"/>
  <c r="Y40" i="2"/>
  <c r="W40"/>
  <c r="X40" s="1"/>
  <c r="V27" i="4" l="1"/>
  <c r="W27" s="1"/>
  <c r="X27"/>
  <c r="U28"/>
  <c r="R28" l="1"/>
  <c r="S28" s="1"/>
  <c r="Y28"/>
  <c r="T28"/>
  <c r="V28" l="1"/>
  <c r="W28" s="1"/>
  <c r="X28"/>
  <c r="U29"/>
  <c r="R29" l="1"/>
  <c r="S29" s="1"/>
  <c r="Y29"/>
  <c r="T29"/>
  <c r="U30" l="1"/>
  <c r="V29"/>
  <c r="W29" s="1"/>
  <c r="X29"/>
  <c r="Y30" l="1"/>
  <c r="R30"/>
  <c r="S30" s="1"/>
  <c r="T30"/>
  <c r="U31" l="1"/>
  <c r="X30"/>
  <c r="V30"/>
  <c r="W30" s="1"/>
  <c r="T31" l="1"/>
  <c r="Y31"/>
  <c r="R31"/>
  <c r="S31" s="1"/>
  <c r="U32" l="1"/>
  <c r="V31"/>
  <c r="W31" s="1"/>
  <c r="X31"/>
  <c r="T32" l="1"/>
  <c r="Y32"/>
  <c r="U33" s="1"/>
  <c r="R32"/>
  <c r="S32" s="1"/>
  <c r="Y33" l="1"/>
  <c r="T33"/>
  <c r="X32"/>
  <c r="V32"/>
  <c r="W32" s="1"/>
  <c r="X33" l="1"/>
  <c r="U34"/>
  <c r="V33"/>
  <c r="W33" s="1"/>
  <c r="Y34" l="1"/>
  <c r="T34"/>
  <c r="U35" l="1"/>
  <c r="V34"/>
  <c r="W34" s="1"/>
  <c r="X34"/>
  <c r="T35" l="1"/>
  <c r="Y35"/>
  <c r="R35"/>
  <c r="S35" s="1"/>
  <c r="X35" l="1"/>
  <c r="U36"/>
  <c r="V35"/>
  <c r="W35" s="1"/>
  <c r="R34"/>
  <c r="S34" s="1"/>
  <c r="T36" l="1"/>
  <c r="Y36"/>
  <c r="R36"/>
  <c r="S36" s="1"/>
  <c r="R33"/>
  <c r="S33" s="1"/>
  <c r="V36" l="1"/>
  <c r="W36" s="1"/>
  <c r="X36"/>
  <c r="U37"/>
  <c r="T37" l="1"/>
  <c r="Y37"/>
  <c r="R37"/>
  <c r="S37" s="1"/>
  <c r="X37" l="1"/>
  <c r="U38"/>
  <c r="V37"/>
  <c r="W37" s="1"/>
  <c r="T38" l="1"/>
  <c r="Y38"/>
  <c r="R38"/>
  <c r="S38" s="1"/>
  <c r="V38" l="1"/>
  <c r="W38" s="1"/>
  <c r="X38"/>
  <c r="U39"/>
  <c r="T39" l="1"/>
  <c r="Y39"/>
  <c r="R39"/>
  <c r="S39" s="1"/>
  <c r="U40" l="1"/>
  <c r="V39"/>
  <c r="W39" s="1"/>
  <c r="X39"/>
  <c r="T40" l="1"/>
  <c r="Y40"/>
  <c r="R40"/>
  <c r="S40" s="1"/>
  <c r="V40" l="1"/>
  <c r="W40" s="1"/>
  <c r="X40"/>
  <c r="R16" l="1"/>
  <c r="S16" s="1"/>
</calcChain>
</file>

<file path=xl/sharedStrings.xml><?xml version="1.0" encoding="utf-8"?>
<sst xmlns="http://schemas.openxmlformats.org/spreadsheetml/2006/main" count="656" uniqueCount="330">
  <si>
    <t>Section</t>
  </si>
  <si>
    <t>Depart</t>
  </si>
  <si>
    <t>km/day</t>
  </si>
  <si>
    <t>m/day</t>
  </si>
  <si>
    <t>Trail</t>
  </si>
  <si>
    <t>Days</t>
  </si>
  <si>
    <t>Arrival</t>
  </si>
  <si>
    <t>Wrightwood to Agua Dulce</t>
  </si>
  <si>
    <t>South Lake Tahoe to Sierra City</t>
  </si>
  <si>
    <t>Sierra City to Quincy</t>
  </si>
  <si>
    <t>Mt. Shasta City to Etna</t>
  </si>
  <si>
    <t>Etna to Seiad Valley</t>
  </si>
  <si>
    <t>Seiad Valley to Ashland</t>
  </si>
  <si>
    <t>Ashland to Crater Lake (Mazama Village)</t>
  </si>
  <si>
    <t>Crater Lake (Mazama Village) to Shelter Cove Resort</t>
  </si>
  <si>
    <t>Shelter Cove Resort to Sisters</t>
  </si>
  <si>
    <t>Sisters to Timberline Lodge</t>
  </si>
  <si>
    <t>Timberline Lodge to Cascade Locks</t>
  </si>
  <si>
    <t>Cascade Locks to White Pass</t>
  </si>
  <si>
    <t>White Pass to Snoqualmie Pass</t>
  </si>
  <si>
    <t>Skykomish to Stehekin</t>
  </si>
  <si>
    <t>Stehekin to Manning Park</t>
  </si>
  <si>
    <t>143.9 km</t>
  </si>
  <si>
    <t>fin</t>
  </si>
  <si>
    <t>repos</t>
  </si>
  <si>
    <t>Gaz</t>
  </si>
  <si>
    <t>PO, tout</t>
  </si>
  <si>
    <t>PO, base, gaz</t>
  </si>
  <si>
    <t>base, gaz</t>
  </si>
  <si>
    <t>RB3 (gaz?)</t>
  </si>
  <si>
    <t>PO, tout,</t>
  </si>
  <si>
    <t>très basic, pas de gaz, RB13</t>
  </si>
  <si>
    <t>RN14</t>
  </si>
  <si>
    <t>PO, rien, RB15</t>
  </si>
  <si>
    <t>HM map</t>
  </si>
  <si>
    <t>US/Mexico Border to Mt Laguna</t>
  </si>
  <si>
    <t>CA-A-6</t>
  </si>
  <si>
    <t>CA-A-13</t>
  </si>
  <si>
    <t>CA-B-9A</t>
  </si>
  <si>
    <t>CA-B-5</t>
  </si>
  <si>
    <t>CA-B-11</t>
  </si>
  <si>
    <t>CA-C-7</t>
  </si>
  <si>
    <t>CA-D-3</t>
  </si>
  <si>
    <t>CA-D-12</t>
  </si>
  <si>
    <t>CA-E-12</t>
  </si>
  <si>
    <t>CA-F-11</t>
  </si>
  <si>
    <t>CA-G-6</t>
  </si>
  <si>
    <t>Km</t>
  </si>
  <si>
    <t>montée</t>
  </si>
  <si>
    <t>Lu</t>
  </si>
  <si>
    <t>Ma</t>
  </si>
  <si>
    <t>Me</t>
  </si>
  <si>
    <t>Je</t>
  </si>
  <si>
    <t>Ve</t>
  </si>
  <si>
    <t>Sa</t>
  </si>
  <si>
    <t>Di</t>
  </si>
  <si>
    <t>Départ</t>
  </si>
  <si>
    <t>Jour</t>
  </si>
  <si>
    <t>arrivée</t>
  </si>
  <si>
    <t>jour</t>
  </si>
  <si>
    <t>Informations</t>
  </si>
  <si>
    <t>jours</t>
  </si>
  <si>
    <t>PO, rien=&gt; RB</t>
  </si>
  <si>
    <t xml:space="preserve">très basic, RB2 </t>
  </si>
  <si>
    <t>CA-G-13</t>
  </si>
  <si>
    <t>CA-H-4</t>
  </si>
  <si>
    <t>CA-H-18</t>
  </si>
  <si>
    <t>CA-H-27</t>
  </si>
  <si>
    <t>CA-I-10</t>
  </si>
  <si>
    <t>N°</t>
  </si>
  <si>
    <t>CA-J-10</t>
  </si>
  <si>
    <t>CA-L-5</t>
  </si>
  <si>
    <t>c/o Sierra Country Store, 213 Main Street, Sierre City, CA 96125</t>
  </si>
  <si>
    <t xml:space="preserve">PO, base, gaz RB, </t>
  </si>
  <si>
    <t>CA-M-9</t>
  </si>
  <si>
    <t>Quincy to Drakesbad Ranch</t>
  </si>
  <si>
    <t>Drakesbad Guest Ranch, End of Warner Valley Road, Chester , CA 96020, 866-999-0914</t>
  </si>
  <si>
    <t>Ranch, douche, esto. RB</t>
  </si>
  <si>
    <t>CA-N-9</t>
  </si>
  <si>
    <t>12mi à l'est de stop. Ravito sur place</t>
  </si>
  <si>
    <t>Drakesbad Ranch to Old Station</t>
  </si>
  <si>
    <t xml:space="preserve"> to Burney Falls SP </t>
  </si>
  <si>
    <t>CA-N-20</t>
  </si>
  <si>
    <t>CA-N-14</t>
  </si>
  <si>
    <t>Burney Falls SP to Castella</t>
  </si>
  <si>
    <t>CA-O-10</t>
  </si>
  <si>
    <t>CA-Q-8</t>
  </si>
  <si>
    <t>CA-R-9</t>
  </si>
  <si>
    <t>USPS : (Hiker Name), ETA, c/o Mazama Village Camper Store, Mazama Village Crater Lake, OR 97604, Phone: 541-594-2255</t>
  </si>
  <si>
    <t>OR-C-8</t>
  </si>
  <si>
    <t>OR-D-10</t>
  </si>
  <si>
    <t>Stop  25 Km N on Hw 242 Post Office [open M-F 8:30-5; 541-549-0419] (Hiker Name), c/o General Delivery, Sisters, OR 97759</t>
  </si>
  <si>
    <t>OR-E-12</t>
  </si>
  <si>
    <t>OR-G-1</t>
  </si>
  <si>
    <t>OG-G-6A</t>
  </si>
  <si>
    <t>WA-H-20</t>
  </si>
  <si>
    <t>Snoqualmie Pass to Barrings</t>
  </si>
  <si>
    <t>WA-J-8</t>
  </si>
  <si>
    <t>Shuttle service connects High Bridge and Stehekin 4 times per day. Stehekin Post Office [509-699-2015], (Hiker Name), c/o General Delivery, Post Office, Stehekin, WA 98852.</t>
  </si>
  <si>
    <t>WA-K-13</t>
  </si>
  <si>
    <t>Sonora Pass to South Lake Tahoe</t>
  </si>
  <si>
    <t>Mt Laguna to Warner Springs</t>
  </si>
  <si>
    <t>Warner Springs to Paradise Corner Café</t>
  </si>
  <si>
    <t>Paradise Corner Café to Idyllwild (CLOSURE)</t>
  </si>
  <si>
    <t xml:space="preserve"> Idyllwild to Ziggy and the Bear</t>
  </si>
  <si>
    <t>Ziggy and the Bear to Big Bear City (CLOSURE I10-Big Bear)</t>
  </si>
  <si>
    <t>Bear to Big Bear to Wrightwood</t>
  </si>
  <si>
    <t xml:space="preserve"> Agua Dulce to Tehachapi DETOUR</t>
  </si>
  <si>
    <t xml:space="preserve"> Kennedy Meadows to Lone Pine</t>
  </si>
  <si>
    <t xml:space="preserve">Lone Pine to Independence </t>
  </si>
  <si>
    <t xml:space="preserve"> Independence  to Vermillion Valley Resort</t>
  </si>
  <si>
    <t>Vermillion Valley to Tuolumne Meadows</t>
  </si>
  <si>
    <t>Tuolumne Meadows to Sonora Pass resupply</t>
  </si>
  <si>
    <t>State Park</t>
  </si>
  <si>
    <t xml:space="preserve">de - à </t>
  </si>
  <si>
    <t>soir</t>
  </si>
  <si>
    <t>muesli</t>
  </si>
  <si>
    <t>thé</t>
  </si>
  <si>
    <t>barres</t>
  </si>
  <si>
    <t>beurre</t>
  </si>
  <si>
    <t>noix</t>
  </si>
  <si>
    <t>pain</t>
  </si>
  <si>
    <t>soupe</t>
  </si>
  <si>
    <t>huile</t>
  </si>
  <si>
    <t>Lyo</t>
  </si>
  <si>
    <t>matin</t>
  </si>
  <si>
    <t>sect</t>
  </si>
  <si>
    <t>TOTAL</t>
  </si>
  <si>
    <t>from</t>
  </si>
  <si>
    <t>pâtes</t>
  </si>
  <si>
    <t>journée</t>
  </si>
  <si>
    <t xml:space="preserve"> Kennedy Meadows to Lone Pine (Mt Whitney)</t>
  </si>
  <si>
    <t xml:space="preserve"> Agua Dulce to Tehachapi DETOUR à pied</t>
  </si>
  <si>
    <t xml:space="preserve"> sur le PCT. stores, restaurant, Trail angels</t>
  </si>
  <si>
    <t>CORRECTIONS PONCTUELLES</t>
  </si>
  <si>
    <t>X?</t>
  </si>
  <si>
    <t>Tehachapi to Lake Isabella</t>
  </si>
  <si>
    <t>Lake Isabella to Kennedy Meadows Store</t>
  </si>
  <si>
    <t>loin, pas de gaz.</t>
  </si>
  <si>
    <t>date matin</t>
  </si>
  <si>
    <t>date, soir</t>
  </si>
  <si>
    <t>cumul</t>
  </si>
  <si>
    <t xml:space="preserve"> y compris 25Km à pied de liaison. c\o General Delivery, Independence, CA 9352. at 101 South Edwards Street, and their phone number is (760) 878-2210.</t>
  </si>
  <si>
    <t>http://www.sonorapassresupply.com. Vérifier ouverture,commander 10 jours avant,  confirmer 3 jours avant</t>
  </si>
  <si>
    <t>20 Km de stop. Post Office [open M-F 8:30-5 &amp; Sa 12-2; 530-544-3462], (Hiker Name), c/o General Delivery, South Lake Tahoe, CA 96151.</t>
  </si>
  <si>
    <t>Liaison 3 Km à pied. c/o Sierra Country Store, 213 Main Street, Sierre City, CA 96125. [open 9-8 daily;
530-862-1560]</t>
  </si>
  <si>
    <t>corriger ressuply sect 20 = +1</t>
  </si>
  <si>
    <t xml:space="preserve">base, gaz, </t>
  </si>
  <si>
    <t>très basic, pas de gaz,</t>
  </si>
  <si>
    <t>rien=&gt; RB</t>
  </si>
  <si>
    <t>très basic, pas de gaz RB</t>
  </si>
  <si>
    <t>mi in</t>
  </si>
  <si>
    <t>mi out</t>
  </si>
  <si>
    <t>mi</t>
  </si>
  <si>
    <t>KM</t>
  </si>
  <si>
    <t>cor</t>
  </si>
  <si>
    <t>Km net</t>
  </si>
  <si>
    <t>km/h</t>
  </si>
  <si>
    <t>CA-P-13</t>
  </si>
  <si>
    <t>WA-J-1</t>
  </si>
  <si>
    <t>300m=km</t>
  </si>
  <si>
    <t xml:space="preserve"> Old Station  to Burney Falls SP </t>
  </si>
  <si>
    <t>Burney Falls SP to  Old Station</t>
  </si>
  <si>
    <t>Old Station to Drakesbad Ranch</t>
  </si>
  <si>
    <t>Drakesbad Ranch to Quincy</t>
  </si>
  <si>
    <t xml:space="preserve">base, pas de gaz </t>
  </si>
  <si>
    <t xml:space="preserve">Ranch, douche, resto. </t>
  </si>
  <si>
    <t>PO tout</t>
  </si>
  <si>
    <t>pas de gaz</t>
  </si>
  <si>
    <t xml:space="preserve"> y compris  25 Km de liaison à pied. resupply packages [$20 with a 25 pound limit], UPS only, include ETA. Vermilion Valley Resort, c/o Rancheria Garage, 62311 Huntington Lake Road, Lakeshore, CA 93634</t>
  </si>
  <si>
    <t>PCT AVEC Sierra Nevada Décalée à la fin du N au S</t>
  </si>
  <si>
    <r>
      <t xml:space="preserve">Stp 38Km. Dinsmore's Hiker Haven </t>
    </r>
    <r>
      <rPr>
        <sz val="9"/>
        <color theme="1"/>
        <rFont val="Arial"/>
        <family val="2"/>
      </rPr>
      <t xml:space="preserve">House 360-677-1237, Andrea 253-973-3495, Jerry 206-954-2521. Dinsmore's Hiker Haven House 360-677-1237, Andrea 253-973-3495, Jerry 206-954-2521. </t>
    </r>
    <r>
      <rPr>
        <sz val="9"/>
        <color rgb="FFFF0000"/>
        <rFont val="Arial"/>
        <family val="2"/>
      </rPr>
      <t>UPS</t>
    </r>
    <r>
      <rPr>
        <sz val="9"/>
        <color theme="1"/>
        <rFont val="Arial"/>
        <family val="2"/>
      </rPr>
      <t>: (Hiker Name), c/o Dinsmore's Hiker Haven, 63330 NE 197th Place, Baring, WA. 98224; sinon/ Skykomish 16MI à W: Post Office [open M-F 11:30 - 3:45; Sa 8-10; 360-677-2241]. c/o General Delivery Skykomish, WA 98288</t>
    </r>
  </si>
  <si>
    <t>BOUFFE PCT</t>
  </si>
  <si>
    <t>Total journalier</t>
  </si>
  <si>
    <t>froid</t>
  </si>
  <si>
    <t>pour 100gr</t>
  </si>
  <si>
    <t>cal</t>
  </si>
  <si>
    <t>gr</t>
  </si>
  <si>
    <t>gruyère</t>
  </si>
  <si>
    <t>huile olive</t>
  </si>
  <si>
    <t>fruits secs</t>
  </si>
  <si>
    <t>noix / cacahouetes</t>
  </si>
  <si>
    <t>nouilles</t>
  </si>
  <si>
    <t>pain wasa</t>
  </si>
  <si>
    <t>addition froid</t>
  </si>
  <si>
    <t>beurre cachouette</t>
  </si>
  <si>
    <t>bombons</t>
  </si>
  <si>
    <t>san Diego</t>
  </si>
  <si>
    <t>Tehachapi</t>
  </si>
  <si>
    <t>S Lake Tahoe</t>
  </si>
  <si>
    <t>Ashland</t>
  </si>
  <si>
    <t>Mt Laguna à 100m. Resupply USPS :name, ETA, phone, Laguna Mountain Lodge, 10678 Sunrise Hwy, POB 146, Mount Laguna, CA 91948. Hold for 'Your Name', 'Your Phone Number' ETA:</t>
  </si>
  <si>
    <r>
      <t xml:space="preserve">BOX reçue </t>
    </r>
    <r>
      <rPr>
        <b/>
        <sz val="9"/>
        <color rgb="FFFF0000"/>
        <rFont val="Arial"/>
        <family val="2"/>
      </rPr>
      <t>pour cette l'étape ds  la 1ère ville</t>
    </r>
  </si>
  <si>
    <t>PCT en throughhike</t>
  </si>
  <si>
    <t>Tout</t>
  </si>
  <si>
    <r>
      <t>PO, tout.</t>
    </r>
    <r>
      <rPr>
        <sz val="9"/>
        <color rgb="FFFF0000"/>
        <rFont val="Arial"/>
        <family val="2"/>
      </rPr>
      <t xml:space="preserve"> </t>
    </r>
  </si>
  <si>
    <t>REI=&gt; Tehachapi</t>
  </si>
  <si>
    <t>Stop vers Idyllwild sur I10, car CLOSURE. Sinon, Resupply box.  Paradise café à 2 km à W  sur Hw74, fermé le mardi.</t>
  </si>
  <si>
    <t>base</t>
  </si>
  <si>
    <t>Wrightwood  à 6Km à pied ou 8Km stop. Alpine village Inn, 56$ pour 2, pick up possible tel (909) 866 5711.</t>
  </si>
  <si>
    <r>
      <t xml:space="preserve">WS à 2Km W. Post Office [M-F 8-4, Sa 8-1:30; 760-782-3166]: Your Name, co General Delivery, </t>
    </r>
    <r>
      <rPr>
        <b/>
        <sz val="9"/>
        <color theme="1"/>
        <rFont val="Arial"/>
        <family val="2"/>
      </rPr>
      <t>Warner Springs</t>
    </r>
    <r>
      <rPr>
        <sz val="9"/>
        <color theme="1"/>
        <rFont val="Arial"/>
        <family val="2"/>
      </rPr>
      <t>, CA 92086 tel (760) 782-3166</t>
    </r>
  </si>
  <si>
    <t xml:space="preserve"> Prévoir bouffe pour stop. closure p1 à 7: aller à Big Bear Lake (stop ou bus) pour magazins avec tout, à 6mi du PCT.  Gaz. I-10 à E 10Km pour Morongo Casino, Bus =&gt;Beaumont/San Bernardino puis bus Cf PCTA</t>
  </si>
  <si>
    <t>ravito sur place à Idyllwild: magasins et gaz. De tout, post office. arrêt  à Ziggy (voir closure suivante): Pat Miller, PO BOX 826 Cabazon, CA 92230. Tel 951-849-7506.</t>
  </si>
  <si>
    <t>Wrightwood sur PCT, pas de PO. Ravito sur place: magasins correct, gaz.  Hiker Heaven ouvert??</t>
  </si>
  <si>
    <t>Lake Isabella à 37mi de stop à l'W.  Lake Isabella Post Office [open M-F 10-4; 760-379-2553] (Hiker Name) c/o General Delivery Lake Isabella, CA 93240</t>
  </si>
  <si>
    <t xml:space="preserve"> y compris 25Km à pied de liaison de Independence. Independence Post Office [open M-F 9:30-12:45 &amp; 1:15-4; 760-878-2210] (Hiker Name) c/o General Delivery Independence, CA 93526. at 101 South Edwards Street, phone (760) 878-2210. Bac à 16h, sinon +6Km</t>
  </si>
  <si>
    <r>
      <t>TM à 1Km à pied. Vérifier ouverture. resupply packages  à VVV [$20 with a 25 pound limit],</t>
    </r>
    <r>
      <rPr>
        <b/>
        <sz val="9"/>
        <color rgb="FFFF0000"/>
        <rFont val="Arial"/>
        <family val="2"/>
      </rPr>
      <t xml:space="preserve"> UPS only</t>
    </r>
    <r>
      <rPr>
        <sz val="9"/>
        <color theme="1"/>
        <rFont val="Arial"/>
        <family val="2"/>
      </rPr>
      <t>, ETA. Vermilion Valley Resort, c/o Rancheria Garage, 62311 Huntington Lake Road, Lakeshore, CA 93634</t>
    </r>
  </si>
  <si>
    <r>
      <t xml:space="preserve">Resupply c/o General Delivery. Tuolumne Meadows, Yosemite National Park, CA 95389. </t>
    </r>
    <r>
      <rPr>
        <sz val="9"/>
        <color rgb="FFFF0000"/>
        <rFont val="Arial"/>
        <family val="2"/>
      </rPr>
      <t xml:space="preserve"> Attention : peut être fermé si neige : descendre 19mi</t>
    </r>
  </si>
  <si>
    <r>
      <t xml:space="preserve">ravito de départ. Envoi des </t>
    </r>
    <r>
      <rPr>
        <b/>
        <sz val="9"/>
        <color rgb="FFFF0000"/>
        <rFont val="Arial"/>
        <family val="2"/>
      </rPr>
      <t>RB sect 2,3, et 11</t>
    </r>
    <r>
      <rPr>
        <sz val="9"/>
        <color theme="1"/>
        <rFont val="Arial"/>
        <family val="2"/>
      </rPr>
      <t xml:space="preserve"> Mt Laguna à 100m.</t>
    </r>
  </si>
  <si>
    <t>Castella to Etna</t>
  </si>
  <si>
    <r>
      <t xml:space="preserve">PO. </t>
    </r>
    <r>
      <rPr>
        <sz val="9"/>
        <color rgb="FFFF0000"/>
        <rFont val="Arial"/>
        <family val="2"/>
      </rPr>
      <t>REI pour Ashland</t>
    </r>
  </si>
  <si>
    <r>
      <t xml:space="preserve">State Park à 3Km à pied . Ammirati's Market is next to the post office, [open every day 8-9; 530-235-2676] USPS. address: (Hiker Name,) ETA, c/o Ammirati's Market, PO Box 90, Castella, CA 96017. </t>
    </r>
    <r>
      <rPr>
        <sz val="9"/>
        <color rgb="FFFF0000"/>
        <rFont val="Arial"/>
        <family val="2"/>
      </rPr>
      <t xml:space="preserve">MAIS </t>
    </r>
    <r>
      <rPr>
        <sz val="9"/>
        <color theme="1"/>
        <rFont val="Arial"/>
        <family val="2"/>
      </rPr>
      <t>Mount Shasta, 22Km de stop, pour du gaz</t>
    </r>
  </si>
  <si>
    <t>Quincy à 12mi à l'est de stop. Ravito sur place, tout</t>
  </si>
  <si>
    <t>Old Station sur PCT Post Office [open M-F 8:30-4:30 &amp; Sa 1-3; 530-335-7191] - c/o General Delivery, Old Station, CA 96071. Attention: pas d'eau sur 30Mi Après Old Station (sauf détour 5Km Antelope Reservoir mi 1984)</t>
  </si>
  <si>
    <t>Burney Falls State Park Camp Store sur PCT [open daily 8-8; 530-335-5713] (Hiker Name) ETA, c/o Burney Park Camp Store, McArthur Burney Falls State Park, 24900 State Highway 89, Burney, CA 96013</t>
  </si>
  <si>
    <t>Etna à 16Km de stop. Etna Post Office [open M-F 9-5; 530-467-3981] (Hiker Name), c/o General Delivery, Etna, CA 96027</t>
  </si>
  <si>
    <r>
      <t xml:space="preserve">Sur PCT The </t>
    </r>
    <r>
      <rPr>
        <b/>
        <sz val="9"/>
        <color theme="1"/>
        <rFont val="Arial"/>
        <family val="2"/>
      </rPr>
      <t xml:space="preserve">Mid River RV Park </t>
    </r>
    <r>
      <rPr>
        <sz val="9"/>
        <color theme="1"/>
        <rFont val="Arial"/>
        <family val="2"/>
      </rPr>
      <t>[530-496-3400] by</t>
    </r>
    <r>
      <rPr>
        <b/>
        <sz val="9"/>
        <color rgb="FFFF0000"/>
        <rFont val="Arial"/>
        <family val="2"/>
      </rPr>
      <t xml:space="preserve"> UPS</t>
    </r>
    <r>
      <rPr>
        <sz val="9"/>
        <color theme="1"/>
        <rFont val="Arial"/>
        <family val="2"/>
      </rPr>
      <t xml:space="preserve"> (Hiker Name) ETA, c/o Mid River RV Park, 44701 Highway 96, Seiad Valley, CA 96086</t>
    </r>
  </si>
  <si>
    <r>
      <t xml:space="preserve">Timberline Lodge sur PCT </t>
    </r>
    <r>
      <rPr>
        <sz val="9"/>
        <color theme="1"/>
        <rFont val="Arial"/>
        <family val="2"/>
      </rPr>
      <t>[mile 2094.5] (Hiker Name) write "Hold for PCT Hiker", c/o WY'East Store, Timberline Lodge Ski Area, 27500 E Timberline Rd, Timberline Lodge, OR 97028. phone: 503-272-3189</t>
    </r>
  </si>
  <si>
    <t>Cascade Locks Post Office sur PCT  [open M-F 8:30-1 &amp; 2-5; 541-374-5026],  (Hiker Name), c/o General Delivery, Cascade Locks, OR 97014</t>
  </si>
  <si>
    <t>the Kracker Barrel convenience store à 1 Km [509-672-3105]  (Hiker Name), c/o Kracker Barrel Store, 48851 US Highway 12 Naches, WA 98937. (town of Packwood is 20.5 miles W of the PCT on Hwy 12.) Camp à 5Km</t>
  </si>
  <si>
    <t>Barrings to Stehekin</t>
  </si>
  <si>
    <t>Chevron station à 1 Km [425-434-6688]  [425-434-6688]  (Hiker Name) Please hold in the Chevron station for PCT hiker, ETA, c/o General Delivery, Snoqualmie Pass, WA 98068</t>
  </si>
  <si>
    <r>
      <t xml:space="preserve">PO, base, gaz; </t>
    </r>
    <r>
      <rPr>
        <sz val="9"/>
        <color rgb="FFFF0000"/>
        <rFont val="Arial"/>
        <family val="2"/>
      </rPr>
      <t xml:space="preserve">REI=&gt; South Lake Tahoe </t>
    </r>
    <r>
      <rPr>
        <b/>
        <sz val="9"/>
        <color rgb="FFFF0000"/>
        <rFont val="Arial"/>
        <family val="2"/>
      </rPr>
      <t>&amp; resupply Sonora</t>
    </r>
  </si>
  <si>
    <t xml:space="preserve">BOUNCEBOX, envoi RB </t>
  </si>
  <si>
    <r>
      <t xml:space="preserve">20Km de stop N sur Hw 5. </t>
    </r>
    <r>
      <rPr>
        <b/>
        <sz val="9"/>
        <color rgb="FFFF0000"/>
        <rFont val="Arial"/>
        <family val="2"/>
      </rPr>
      <t>BOUNCE BOX à renvoyer  &amp; RESUPPLY sect 29 à 36</t>
    </r>
    <r>
      <rPr>
        <sz val="9"/>
        <color theme="1"/>
        <rFont val="Arial"/>
        <family val="2"/>
      </rPr>
      <t>. Ashland Post Office [open M-F 9-5; 541-552-1622] (Hiker Name) ETA, c/o General Delivery, Ashland, OR 97520</t>
    </r>
  </si>
  <si>
    <t>Kennedy Meadows to Lone Pine</t>
  </si>
  <si>
    <t xml:space="preserve">Resupply c/o General Delivery. Tuolumne Meadows, Yosemite National Park, CA 95389. </t>
  </si>
  <si>
    <t xml:space="preserve"> Quincy to Sierra City</t>
  </si>
  <si>
    <t xml:space="preserve"> Sierra City tot South Lake Tahoe</t>
  </si>
  <si>
    <t xml:space="preserve"> South Lake Tahoe to Sonora Pass </t>
  </si>
  <si>
    <t>Sonora Pass resupply to Tuolumne Meadows</t>
  </si>
  <si>
    <t xml:space="preserve"> Tuolumne Meadows to Vermillion Valley</t>
  </si>
  <si>
    <t xml:space="preserve">Vermillion Valley Resort to  Independence </t>
  </si>
  <si>
    <t xml:space="preserve"> Independence  to Lone Pine</t>
  </si>
  <si>
    <t>Burney Falls State Park Camp Store [open daily 8-8; 530-335-5713] (Hiker Name) ETA, c/o Burney Park Camp Store, McArthur Burney Falls State Park, 24900 State Highway 89, Burney, CA 96013.  Old Station Post Office [open M-F 8:30-4:30 &amp; Sa 1-3; 530-335-7191] - c/o General Delivery, Old Station, CA 96071. Attention: pas d'eau sur 30Mi Après Old Station (sauf détour 5Km Antelope Reservoir mi 1984)</t>
  </si>
  <si>
    <t xml:space="preserve"> y compris 25Km à pied de liaison. c\o General Delivery, Lone Pine, CA 93545. at 121 East Bush Street, and their phone number is (760) 876-5681. Retour à San Diego 3 jours.</t>
  </si>
  <si>
    <t>12,13,14,15,17,19,23,24</t>
  </si>
  <si>
    <t>achats pou PCT en continu</t>
  </si>
  <si>
    <t>29,30, 31, 32, 33, 34, 35, 36</t>
  </si>
  <si>
    <t>2,3,11</t>
  </si>
  <si>
    <t>Agua Dulce  sur PCT, pas de PO. Ravito sur place: magasins correct, gaz.  Hiker Heaven ouvert??</t>
  </si>
  <si>
    <t xml:space="preserve"> tout,</t>
  </si>
  <si>
    <r>
      <t xml:space="preserve">Tehachapi: 15 Km de stop. Détour: voir HM alternate Mi 478 (idem) . Magasins complets;  </t>
    </r>
    <r>
      <rPr>
        <b/>
        <sz val="9"/>
        <color rgb="FFFF0000"/>
        <rFont val="Arial"/>
        <family val="2"/>
      </rPr>
      <t>envoi RB sec 12. BOUNCEBOX vers Lone pine avec RB 13,14,15,17,19, 23, 24  + Boite spé pour KM=neige</t>
    </r>
    <r>
      <rPr>
        <sz val="9"/>
        <color theme="1"/>
        <rFont val="Arial"/>
        <family val="2"/>
      </rPr>
      <t xml:space="preserve">,  Tehachapi Post Office [open M-F 9-5, Sa 10-2; 661-822-0279]? (Hiker Name)? c/o General Delivery? Tehachapi, CA 93561. </t>
    </r>
  </si>
  <si>
    <r>
      <t xml:space="preserve"> y compris 25Km à pied de liaison de Lone Pine et vers Independence. </t>
    </r>
    <r>
      <rPr>
        <b/>
        <sz val="9"/>
        <color rgb="FFFF0000"/>
        <rFont val="Arial"/>
        <family val="2"/>
      </rPr>
      <t>CHOIX D'ITINERAIRE / ENVOI RESUPPLY SCT 14, 15,17, 19 ET  23, 24 à destination ou à South Lake Tahoe</t>
    </r>
    <r>
      <rPr>
        <sz val="9"/>
        <color theme="1"/>
        <rFont val="Arial"/>
        <family val="2"/>
      </rPr>
      <t>;  c\o General Delivery, Lone Pine, CA 93545. at 121 East Bush Street, and their phone number is (760) 876-5681.</t>
    </r>
  </si>
  <si>
    <t xml:space="preserve"> KM Sur PCT. magasin cher. Gaz? réserver Boite à ours: [559-850-5647] c/o Kennedy Meadows General Store, 96740 Beach Meadow Road, Inyokern, CA 93527.  y compris 25Km à pied de liaison vers Lone Pine. UPS Drop Box, CHAMBER OF COMMERCE BUILDING, 120 S MAIN, LONE PINE, CA, 93545</t>
  </si>
  <si>
    <r>
      <t xml:space="preserve">SLT à 20 Km de stop. </t>
    </r>
    <r>
      <rPr>
        <b/>
        <sz val="9"/>
        <color rgb="FFFF0000"/>
        <rFont val="Arial"/>
        <family val="2"/>
      </rPr>
      <t>BOUNCEBOX, envoi RB sect 22, 23, 24, 26 &amp; 28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Post Office [open M-F 8:30-5 &amp; Sa 12-2; 530-544-3462], (Hiker Name), c/o General Delivery, South Lake Tahoe, CA 96151. UPS CC - SOUTH LAKE TAHOE, 1746 D ST, SOUTH LAKE TAHOE, CA, 96150-6227, Tel:  800-742-5877</t>
    </r>
  </si>
  <si>
    <r>
      <t xml:space="preserve">20Km de stop N sur Hw 5. </t>
    </r>
    <r>
      <rPr>
        <b/>
        <sz val="9"/>
        <color rgb="FFFF0000"/>
        <rFont val="Arial"/>
        <family val="2"/>
      </rPr>
      <t>BOUNCE BOX à renvoyer  &amp; RESUPPLY sect 29 à 36</t>
    </r>
    <r>
      <rPr>
        <sz val="9"/>
        <color theme="1"/>
        <rFont val="Arial"/>
        <family val="2"/>
      </rPr>
      <t>. Ashland Post Office [open M-F 9-5; 541-552-1622] (Hiker Name) ETA, c/o General Delivery, Ashland, OR 97520. THE UPS STORE, 2305 ASHLAND ST,#C, ASHLAND, OR, 97520-3777</t>
    </r>
  </si>
  <si>
    <t>w.sonorapassresupply.com. Vérifier ouverture,commander 10 jours avant,  confirmer 3 jours avant; Sonora Pass Resupply, 3285 Grillo Drive, Coulterville, Ca. 95311. SINON : stop Bridgeport [mile 1016.9 à 31.5 miles motels, restaurants, grocery, ATM, Post Office [open M-F 8-12 &amp; 1-4;760-932-7991] (Hiker Name) c/o General Delivery, Bridgeport, CA 93517; OU BIEN North Kennedy Meadows à 16Km</t>
  </si>
  <si>
    <r>
      <t xml:space="preserve">SCR à 3,5Km à pied. via </t>
    </r>
    <r>
      <rPr>
        <b/>
        <sz val="9"/>
        <color rgb="FFFF0000"/>
        <rFont val="Arial"/>
        <family val="2"/>
      </rPr>
      <t xml:space="preserve">UPS </t>
    </r>
    <r>
      <rPr>
        <sz val="9"/>
        <color rgb="FFFF0000"/>
        <rFont val="Arial"/>
        <family val="2"/>
      </rPr>
      <t>only,</t>
    </r>
    <r>
      <rPr>
        <sz val="9"/>
        <color theme="1"/>
        <rFont val="Arial"/>
        <family val="2"/>
      </rPr>
      <t xml:space="preserve"> (Hiker Name) ETA, c/o Shelter Cove Resort &amp; Marina, 27600 West Odell Lake Road, Highway 58, Crescent, OR 97733. phone: 541-433-2548. SUR le PCT : à +5h Big Lake Youth Camp, sympa mais pas de gaz. Big Lake Youth Camp [mile 1992.6] camping, showers, laundry, meals, USPS or UPS. (Hiker Name) c/o Big Lake Youth Camp 13100 Highway 20 Sisters, OR 97759 phone: 503-850-3583</t>
    </r>
  </si>
  <si>
    <t>Stop  25 Km N on Hw 242 Post Office [open M-F 8:30-5; 541-549-0419] (Hiker Name), c/o General Delivery, Sisters, OR 97759. OU BIEN Youth Camp si-dessus</t>
  </si>
  <si>
    <t>page du point d'arrivée</t>
  </si>
  <si>
    <r>
      <t xml:space="preserve">PO. </t>
    </r>
    <r>
      <rPr>
        <b/>
        <sz val="9"/>
        <color rgb="FFFF0000"/>
        <rFont val="Arial"/>
        <family val="2"/>
      </rPr>
      <t>REI pour Ashland</t>
    </r>
  </si>
  <si>
    <t>Sect</t>
  </si>
  <si>
    <t>Jours</t>
  </si>
  <si>
    <t>RAVITALLEMENT AVEC SIERRA DECALEE</t>
  </si>
  <si>
    <t>RAVITALLEMENT AVEC PCT EN CONTINU</t>
  </si>
  <si>
    <r>
      <t xml:space="preserve"> Big Lake Youth Camp, sympa mais pas de gaz. Big Lake Youth Camp [mile 1992.6] camping, showers, laundry, meals, USPS or UPS. (Hiker Name) c/o Big Lake Youth Camp 13100 Highway 20 Sisters, OR 97759 phone: 503-850-3583 sinon SCR à 3,5Km à pied. via </t>
    </r>
    <r>
      <rPr>
        <b/>
        <sz val="9"/>
        <color rgb="FFFF0000"/>
        <rFont val="Arial"/>
        <family val="2"/>
      </rPr>
      <t xml:space="preserve">UPS </t>
    </r>
    <r>
      <rPr>
        <sz val="9"/>
        <color rgb="FFFF0000"/>
        <rFont val="Arial"/>
        <family val="2"/>
      </rPr>
      <t>only,</t>
    </r>
    <r>
      <rPr>
        <sz val="9"/>
        <color theme="1"/>
        <rFont val="Arial"/>
        <family val="2"/>
      </rPr>
      <t xml:space="preserve"> (Hiker Name) ETA, c/o Shelter Cove Resort &amp; Marina, 27600 West Odell Lake Road, Highway 58, Crescent, OR 97733. phone: 541-433-2548</t>
    </r>
  </si>
  <si>
    <t>Shelter Cove Resort to Big Lake Youth Camp</t>
  </si>
  <si>
    <t>Big Lake Youth Camp to Timberline Lodge</t>
  </si>
  <si>
    <r>
      <t xml:space="preserve">Shuttle service connects High Bridge and Stehekin 4 times per day. Stehekin Post Office [509-699-2015], (Hiker Name), c/o General Delivery, Post Office, Stehekin, WA 98852. </t>
    </r>
    <r>
      <rPr>
        <b/>
        <sz val="9"/>
        <color rgb="FFFF0000"/>
        <rFont val="Arial"/>
        <family val="2"/>
      </rPr>
      <t>TRANSIT sur Burney Falls SP 5 jours. Arrêtà SEATLE  avant pour envoi RB sec 21, 20, 18, 15, 14 &amp; 13</t>
    </r>
  </si>
  <si>
    <t>achats pour PCT décalé</t>
  </si>
  <si>
    <t>SEATLE</t>
  </si>
  <si>
    <t>BB</t>
  </si>
  <si>
    <t xml:space="preserve">Ziggy and the Bear to Big Bear City </t>
  </si>
  <si>
    <t>Crater Lake  to Shelter Cove Resort</t>
  </si>
  <si>
    <t xml:space="preserve"> Agua Dulce to Tehachapi </t>
  </si>
  <si>
    <t>Castella City to Etna</t>
  </si>
  <si>
    <t>basic, pas de gaz,</t>
  </si>
  <si>
    <t>White pass: the Kracker Barrel convenience store à 1 Km [509-672-3105]  (Hiker Name), c/o Kracker Barrel Store, 48851 US Highway 12 Naches, WA 98937. (town of Packwood is 20.5 miles W of the PCT on Hwy 12.) Camp à 5Km</t>
  </si>
  <si>
    <t xml:space="preserve"> Snoqualmie Pass: Chevron station à 1 Km [425-434-6688]  [425-434-6688]  (Hiker Name) Please hold in the Chevron station for PCT hiker, ETA, c/o General Delivery, Snoqualmie Pass, WA 98068</t>
  </si>
  <si>
    <t>jours à redis</t>
  </si>
  <si>
    <r>
      <t xml:space="preserve">Tehachapi: 15 Km de stop. Détour: voir HM alternate Mi 478 (idem) . Magasins complets;  </t>
    </r>
    <r>
      <rPr>
        <b/>
        <sz val="9"/>
        <color rgb="FFFF0000"/>
        <rFont val="Arial"/>
        <family val="2"/>
      </rPr>
      <t>envoi RB sec 12. BOUNCEBOX vers Lone pine avec RB 13,14,15,17,19, 24, 26, 28  + Boite spé pour KM=neige</t>
    </r>
    <r>
      <rPr>
        <sz val="9"/>
        <color theme="1"/>
        <rFont val="Arial"/>
        <family val="2"/>
      </rPr>
      <t xml:space="preserve">,  Tehachapi Post Office [open M-F 9-5, Sa 10-2; 661-822-0279]? (Hiker Name)? c/o General Delivery? Tehachapi, CA 93561. </t>
    </r>
  </si>
  <si>
    <t>REI</t>
  </si>
  <si>
    <r>
      <t xml:space="preserve"> KM Sur PCT. magasin cher. Gaz? réserver Boite à ours: [559-850-5647] c/o Kennedy Meadows General Store, 96740 Beach Meadow Road, Inyokern, CA 93527.  Lone Pine y compris 25Km à pied de liaison vers Lone Pine y compris 25Km à pied de liaison de Lone Pine et vers Independence.</t>
    </r>
    <r>
      <rPr>
        <b/>
        <sz val="9"/>
        <color rgb="FFFF0000"/>
        <rFont val="Arial"/>
        <family val="2"/>
      </rPr>
      <t xml:space="preserve"> TRANSIT sur Burney Falls SP = 3 jours.  redistrib SCT 14, 15,17, 19 sur ASHLAND.  ENVOI RESUPPLY  24, 26, 28; </t>
    </r>
    <r>
      <rPr>
        <sz val="9"/>
        <color theme="1"/>
        <rFont val="Arial"/>
        <family val="2"/>
      </rPr>
      <t xml:space="preserve"> c\o General Delivery, Lone Pine, CA 93545. at 121 East Bush Street, and their phone number is (760) 876-5681.+</t>
    </r>
  </si>
  <si>
    <t>sur 29,30,31,33</t>
  </si>
  <si>
    <t>(29,30,31,33)32, 34,35,36</t>
  </si>
  <si>
    <t>21,20,18,15, 14,13</t>
  </si>
  <si>
    <t>12,24,26,28,19,17,15,14,13</t>
  </si>
  <si>
    <t>Ziggy and the Bear to Big Bear City (CLOSURE)</t>
  </si>
  <si>
    <t>Kcal/100gr</t>
  </si>
  <si>
    <t>ref</t>
  </si>
  <si>
    <t>poids</t>
  </si>
  <si>
    <t>Kcal</t>
  </si>
  <si>
    <t>Mountain House Beef Stroganoff with Noodles - 2.5 Servings</t>
  </si>
  <si>
    <t>#510134</t>
  </si>
  <si>
    <t>Mountain House Lasagna with Meat Sauce - 2.5 Servings</t>
  </si>
  <si>
    <t>#510145</t>
  </si>
  <si>
    <t>Mountain House Italian Pepper Steak - 2.5 Servings</t>
  </si>
  <si>
    <t>#885788</t>
  </si>
  <si>
    <t>Mountain House Granola With Milk and Blueberries - 2 Servings</t>
  </si>
  <si>
    <t>#510121</t>
  </si>
  <si>
    <t>Mountain House Biscuits and Gravy - 2 Servings</t>
  </si>
  <si>
    <t>#869989</t>
  </si>
  <si>
    <t>Mountain House Beef Stroganoff with Noodles Pro-Pak - 2 Servings</t>
  </si>
  <si>
    <t>#722467</t>
  </si>
  <si>
    <t>Mountain House Mexican-Style Rice and Chicken - 3 Servings</t>
  </si>
  <si>
    <t>#604786</t>
  </si>
  <si>
    <t>Mountain House Lasagna with Meat Sauce Pro-Pak - 2 Servings</t>
  </si>
  <si>
    <t>#722473</t>
  </si>
  <si>
    <t>Mountain House Spaghetti with Meat Sauce - 2.5 Servings</t>
  </si>
  <si>
    <t>#510144</t>
  </si>
  <si>
    <t>Clif Bar Energy Bar - 2.4 oz.</t>
  </si>
  <si>
    <t>#604787</t>
  </si>
  <si>
    <t>Honey Stinger Energy Waffle</t>
  </si>
  <si>
    <t>#813290</t>
  </si>
  <si>
    <t>Bear Valley Pemmican Bar</t>
  </si>
  <si>
    <t>#519135</t>
  </si>
  <si>
    <t>Clif Organic Trail Mix Bar</t>
  </si>
  <si>
    <t>#889315</t>
  </si>
  <si>
    <t>Bobo's Oat Bars Wheat-Free Bar</t>
  </si>
  <si>
    <t>#844066</t>
  </si>
  <si>
    <t>Bonk Breaker High Protein Energy Bar</t>
  </si>
  <si>
    <t>#838266</t>
  </si>
  <si>
    <t>Bounce Natural Energy Ball</t>
  </si>
  <si>
    <t>#888101</t>
  </si>
  <si>
    <t>Tanka Buffalo Cranberry Jerky Bites</t>
  </si>
  <si>
    <t>#804538</t>
  </si>
  <si>
    <t>SeaBear Smoked Salmon Jerky</t>
  </si>
  <si>
    <t>#892579</t>
  </si>
  <si>
    <t>KIND Fruit and Nut Bar</t>
  </si>
  <si>
    <t>#790592</t>
  </si>
  <si>
    <t>Bearded Brothers Energy Bar - 2 oz.</t>
  </si>
  <si>
    <t>#877587</t>
  </si>
  <si>
    <t>produit REI</t>
  </si>
  <si>
    <t>100gr=</t>
  </si>
  <si>
    <t>arron</t>
  </si>
  <si>
    <t>soit Kcal</t>
  </si>
  <si>
    <t>barres par 100gr</t>
  </si>
  <si>
    <t>montée/jour</t>
  </si>
  <si>
    <t>montée section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</si>
</sst>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[$-40C]d\-mmm;@"/>
    <numFmt numFmtId="166" formatCode="d/m/yy\ h:mm;@"/>
    <numFmt numFmtId="167" formatCode="0.0"/>
  </numFmts>
  <fonts count="1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165" fontId="1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0" fontId="1" fillId="4" borderId="1" xfId="0" applyFont="1" applyFill="1" applyBorder="1"/>
    <xf numFmtId="0" fontId="1" fillId="7" borderId="1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4" borderId="9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9" borderId="0" xfId="0" applyFont="1" applyFill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wrapText="1"/>
    </xf>
    <xf numFmtId="0" fontId="1" fillId="14" borderId="1" xfId="0" applyFont="1" applyFill="1" applyBorder="1" applyAlignment="1">
      <alignment horizontal="center" wrapText="1"/>
    </xf>
    <xf numFmtId="0" fontId="2" fillId="14" borderId="0" xfId="0" applyFont="1" applyFill="1" applyBorder="1" applyAlignment="1">
      <alignment wrapText="1"/>
    </xf>
    <xf numFmtId="0" fontId="1" fillId="14" borderId="0" xfId="0" applyFont="1" applyFill="1" applyAlignment="1">
      <alignment wrapText="1"/>
    </xf>
    <xf numFmtId="166" fontId="1" fillId="9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1" fillId="6" borderId="0" xfId="0" applyFont="1" applyFill="1" applyAlignment="1">
      <alignment vertical="top" wrapText="1"/>
    </xf>
    <xf numFmtId="164" fontId="1" fillId="5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2" fillId="17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10" borderId="14" xfId="0" applyFont="1" applyFill="1" applyBorder="1" applyAlignment="1"/>
    <xf numFmtId="0" fontId="8" fillId="0" borderId="11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/>
    <xf numFmtId="0" fontId="8" fillId="0" borderId="1" xfId="0" applyFont="1" applyFill="1" applyBorder="1"/>
    <xf numFmtId="0" fontId="10" fillId="6" borderId="1" xfId="0" applyFont="1" applyFill="1" applyBorder="1" applyAlignment="1">
      <alignment horizontal="center"/>
    </xf>
    <xf numFmtId="3" fontId="8" fillId="8" borderId="1" xfId="0" applyNumberFormat="1" applyFont="1" applyFill="1" applyBorder="1"/>
    <xf numFmtId="3" fontId="8" fillId="8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8" fillId="8" borderId="1" xfId="0" applyFont="1" applyFill="1" applyBorder="1"/>
    <xf numFmtId="0" fontId="8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Fill="1" applyBorder="1"/>
    <xf numFmtId="0" fontId="9" fillId="6" borderId="13" xfId="0" applyFont="1" applyFill="1" applyBorder="1" applyAlignment="1">
      <alignment horizontal="center" vertical="center"/>
    </xf>
    <xf numFmtId="0" fontId="8" fillId="6" borderId="13" xfId="0" applyFont="1" applyFill="1" applyBorder="1"/>
    <xf numFmtId="0" fontId="8" fillId="6" borderId="1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9" fillId="6" borderId="2" xfId="0" applyFont="1" applyFill="1" applyBorder="1" applyAlignment="1">
      <alignment horizontal="center" vertical="center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8" fillId="8" borderId="13" xfId="0" applyFont="1" applyFill="1" applyBorder="1"/>
    <xf numFmtId="0" fontId="11" fillId="6" borderId="1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3" fontId="8" fillId="6" borderId="1" xfId="0" applyNumberFormat="1" applyFont="1" applyFill="1" applyBorder="1"/>
    <xf numFmtId="3" fontId="8" fillId="6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vertical="top" wrapText="1"/>
    </xf>
    <xf numFmtId="0" fontId="1" fillId="0" borderId="9" xfId="0" applyFont="1" applyBorder="1"/>
    <xf numFmtId="0" fontId="1" fillId="4" borderId="9" xfId="0" applyFont="1" applyFill="1" applyBorder="1"/>
    <xf numFmtId="0" fontId="1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 vertical="center"/>
    </xf>
    <xf numFmtId="3" fontId="1" fillId="8" borderId="1" xfId="0" applyNumberFormat="1" applyFont="1" applyFill="1" applyBorder="1"/>
    <xf numFmtId="3" fontId="1" fillId="8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3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19" borderId="1" xfId="0" applyFont="1" applyFill="1" applyBorder="1"/>
    <xf numFmtId="0" fontId="1" fillId="19" borderId="1" xfId="0" applyFont="1" applyFill="1" applyBorder="1" applyAlignment="1">
      <alignment horizontal="center"/>
    </xf>
    <xf numFmtId="3" fontId="1" fillId="6" borderId="1" xfId="0" applyNumberFormat="1" applyFont="1" applyFill="1" applyBorder="1"/>
    <xf numFmtId="3" fontId="1" fillId="6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/>
    <xf numFmtId="3" fontId="1" fillId="0" borderId="1" xfId="0" applyNumberFormat="1" applyFont="1" applyBorder="1"/>
    <xf numFmtId="3" fontId="1" fillId="11" borderId="1" xfId="0" applyNumberFormat="1" applyFont="1" applyFill="1" applyBorder="1"/>
    <xf numFmtId="3" fontId="1" fillId="16" borderId="0" xfId="0" applyNumberFormat="1" applyFont="1" applyFill="1"/>
    <xf numFmtId="3" fontId="1" fillId="0" borderId="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11" borderId="1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4" borderId="1" xfId="0" applyNumberFormat="1" applyFont="1" applyFill="1" applyBorder="1"/>
    <xf numFmtId="3" fontId="1" fillId="0" borderId="1" xfId="0" applyNumberFormat="1" applyFont="1" applyFill="1" applyBorder="1" applyAlignment="1">
      <alignment vertical="top"/>
    </xf>
    <xf numFmtId="3" fontId="1" fillId="0" borderId="10" xfId="0" applyNumberFormat="1" applyFont="1" applyBorder="1"/>
    <xf numFmtId="3" fontId="1" fillId="11" borderId="10" xfId="0" applyNumberFormat="1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18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14" borderId="7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opLeftCell="A33" workbookViewId="0">
      <selection activeCell="AK8" sqref="AK8"/>
    </sheetView>
  </sheetViews>
  <sheetFormatPr baseColWidth="10" defaultRowHeight="12"/>
  <cols>
    <col min="1" max="1" width="19.85546875" style="28" customWidth="1"/>
    <col min="2" max="2" width="3" style="58" customWidth="1"/>
    <col min="3" max="3" width="4.7109375" style="58" hidden="1" customWidth="1"/>
    <col min="4" max="4" width="5.140625" style="58" hidden="1" customWidth="1"/>
    <col min="5" max="5" width="4.5703125" style="58" hidden="1" customWidth="1"/>
    <col min="6" max="6" width="4.28515625" style="58" hidden="1" customWidth="1"/>
    <col min="7" max="7" width="3" style="58" hidden="1" customWidth="1"/>
    <col min="8" max="8" width="4.42578125" style="58" hidden="1" customWidth="1"/>
    <col min="9" max="9" width="5" style="58" hidden="1" customWidth="1"/>
    <col min="10" max="10" width="4.42578125" style="58" hidden="1" customWidth="1"/>
    <col min="11" max="11" width="3" style="58" hidden="1" customWidth="1"/>
    <col min="12" max="12" width="5" style="60" hidden="1" customWidth="1"/>
    <col min="13" max="13" width="6.140625" style="30" customWidth="1"/>
    <col min="14" max="15" width="6.28515625" style="30" customWidth="1"/>
    <col min="16" max="16" width="4.28515625" style="30" customWidth="1"/>
    <col min="17" max="17" width="4.85546875" style="30" customWidth="1"/>
    <col min="18" max="18" width="4.28515625" style="30" customWidth="1"/>
    <col min="19" max="19" width="3.42578125" style="30" hidden="1" customWidth="1"/>
    <col min="20" max="20" width="4.42578125" style="32" customWidth="1"/>
    <col min="21" max="21" width="7.42578125" style="30" hidden="1" customWidth="1"/>
    <col min="22" max="22" width="12" style="33" customWidth="1"/>
    <col min="23" max="23" width="2.85546875" style="30" hidden="1" customWidth="1"/>
    <col min="24" max="24" width="4" style="55" customWidth="1"/>
    <col min="25" max="25" width="7.140625" style="30" hidden="1" customWidth="1"/>
    <col min="26" max="26" width="12.28515625" style="33" customWidth="1"/>
    <col min="27" max="27" width="4.7109375" style="30" customWidth="1"/>
    <col min="28" max="28" width="4.7109375" style="51" hidden="1" customWidth="1"/>
    <col min="29" max="29" width="10.7109375" style="39" customWidth="1"/>
    <col min="30" max="30" width="3.85546875" style="12" customWidth="1"/>
    <col min="31" max="31" width="7.5703125" style="34" customWidth="1"/>
    <col min="32" max="32" width="52.140625" style="5" customWidth="1"/>
    <col min="33" max="16384" width="11.42578125" style="12"/>
  </cols>
  <sheetData>
    <row r="1" spans="1:32" ht="16.5" customHeight="1">
      <c r="Q1" s="179" t="s">
        <v>193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1:32" ht="19.5" customHeight="1">
      <c r="A2" s="6"/>
      <c r="B2" s="57"/>
      <c r="C2" s="63"/>
      <c r="D2" s="63"/>
      <c r="E2" s="63"/>
      <c r="F2" s="63"/>
      <c r="G2" s="63"/>
      <c r="H2" s="63"/>
      <c r="I2" s="63"/>
      <c r="J2" s="63"/>
      <c r="K2" s="63"/>
      <c r="L2" s="64"/>
      <c r="M2" s="8"/>
      <c r="N2" s="8"/>
      <c r="O2" s="178"/>
      <c r="P2" s="8"/>
      <c r="Q2" s="8"/>
      <c r="R2" s="8"/>
      <c r="S2" s="8"/>
      <c r="T2" s="186" t="s">
        <v>56</v>
      </c>
      <c r="U2" s="187"/>
      <c r="V2" s="9"/>
      <c r="W2" s="56"/>
      <c r="X2" s="190" t="s">
        <v>58</v>
      </c>
      <c r="Y2" s="191"/>
      <c r="Z2" s="9"/>
      <c r="AA2" s="194" t="s">
        <v>24</v>
      </c>
      <c r="AB2" s="196" t="s">
        <v>141</v>
      </c>
      <c r="AC2" s="198" t="s">
        <v>192</v>
      </c>
      <c r="AD2" s="10"/>
      <c r="AE2" s="11" t="s">
        <v>34</v>
      </c>
      <c r="AF2" s="180" t="s">
        <v>60</v>
      </c>
    </row>
    <row r="3" spans="1:32" ht="27.75" customHeight="1">
      <c r="A3" s="184" t="s">
        <v>0</v>
      </c>
      <c r="B3" s="57"/>
      <c r="C3" s="63"/>
      <c r="D3" s="63"/>
      <c r="E3" s="63"/>
      <c r="F3" s="63"/>
      <c r="G3" s="63"/>
      <c r="H3" s="63"/>
      <c r="I3" s="63"/>
      <c r="J3" s="63"/>
      <c r="K3" s="63"/>
      <c r="L3" s="64"/>
      <c r="M3" s="185" t="s">
        <v>47</v>
      </c>
      <c r="N3" s="185" t="s">
        <v>329</v>
      </c>
      <c r="O3" s="194" t="s">
        <v>328</v>
      </c>
      <c r="P3" s="185" t="s">
        <v>2</v>
      </c>
      <c r="Q3" s="185" t="s">
        <v>3</v>
      </c>
      <c r="R3" s="13" t="s">
        <v>4</v>
      </c>
      <c r="S3" s="8"/>
      <c r="T3" s="188"/>
      <c r="U3" s="189"/>
      <c r="V3" s="183" t="s">
        <v>1</v>
      </c>
      <c r="W3" s="14"/>
      <c r="X3" s="192"/>
      <c r="Y3" s="193"/>
      <c r="Z3" s="183" t="s">
        <v>6</v>
      </c>
      <c r="AA3" s="195"/>
      <c r="AB3" s="197"/>
      <c r="AC3" s="199"/>
      <c r="AD3" s="10"/>
      <c r="AE3" s="201" t="s">
        <v>250</v>
      </c>
      <c r="AF3" s="181"/>
    </row>
    <row r="4" spans="1:32" ht="24" customHeight="1">
      <c r="A4" s="184"/>
      <c r="B4" s="57" t="s">
        <v>69</v>
      </c>
      <c r="C4" s="57" t="s">
        <v>151</v>
      </c>
      <c r="D4" s="57" t="s">
        <v>152</v>
      </c>
      <c r="E4" s="57" t="s">
        <v>153</v>
      </c>
      <c r="F4" s="57" t="s">
        <v>154</v>
      </c>
      <c r="G4" s="57" t="s">
        <v>155</v>
      </c>
      <c r="H4" s="59" t="s">
        <v>156</v>
      </c>
      <c r="I4" s="57" t="s">
        <v>141</v>
      </c>
      <c r="J4" s="57" t="s">
        <v>157</v>
      </c>
      <c r="K4" s="57" t="s">
        <v>160</v>
      </c>
      <c r="L4" s="61" t="s">
        <v>61</v>
      </c>
      <c r="M4" s="185"/>
      <c r="N4" s="185"/>
      <c r="O4" s="195"/>
      <c r="P4" s="185"/>
      <c r="Q4" s="185"/>
      <c r="R4" s="13" t="s">
        <v>5</v>
      </c>
      <c r="S4" s="8"/>
      <c r="T4" s="15" t="s">
        <v>57</v>
      </c>
      <c r="U4" s="16" t="s">
        <v>139</v>
      </c>
      <c r="V4" s="183"/>
      <c r="W4" s="14"/>
      <c r="X4" s="54" t="s">
        <v>59</v>
      </c>
      <c r="Y4" s="14" t="s">
        <v>140</v>
      </c>
      <c r="Z4" s="183"/>
      <c r="AA4" s="8" t="s">
        <v>61</v>
      </c>
      <c r="AB4" s="48"/>
      <c r="AC4" s="200"/>
      <c r="AD4" s="10" t="s">
        <v>25</v>
      </c>
      <c r="AE4" s="202"/>
      <c r="AF4" s="182"/>
    </row>
    <row r="5" spans="1:32" ht="29.25" customHeight="1">
      <c r="A5" s="6" t="s">
        <v>35</v>
      </c>
      <c r="B5" s="57">
        <v>1</v>
      </c>
      <c r="C5" s="57">
        <v>0</v>
      </c>
      <c r="D5" s="57">
        <v>43</v>
      </c>
      <c r="E5" s="57">
        <f>D5-C5</f>
        <v>43</v>
      </c>
      <c r="F5" s="57">
        <f>E5*1.609344</f>
        <v>69.201792000000012</v>
      </c>
      <c r="G5" s="57"/>
      <c r="H5" s="59">
        <f>F5+G5</f>
        <v>69.201792000000012</v>
      </c>
      <c r="I5" s="57">
        <f>H5</f>
        <v>69.201792000000012</v>
      </c>
      <c r="J5" s="57">
        <v>4.25</v>
      </c>
      <c r="K5" s="57">
        <f>(N5/300)*2</f>
        <v>11.32</v>
      </c>
      <c r="L5" s="61">
        <f>(H5+K5)/(J5*8)</f>
        <v>2.3682880000000002</v>
      </c>
      <c r="M5" s="17">
        <v>68.099999999999994</v>
      </c>
      <c r="N5" s="17">
        <v>1698</v>
      </c>
      <c r="O5" s="17">
        <f>N5/R5</f>
        <v>707.5</v>
      </c>
      <c r="P5" s="8">
        <v>28.9</v>
      </c>
      <c r="Q5" s="8">
        <v>720</v>
      </c>
      <c r="R5" s="13">
        <v>2.4</v>
      </c>
      <c r="S5" s="8">
        <f>WEEKDAY(V5)</f>
        <v>4</v>
      </c>
      <c r="T5" s="15" t="str">
        <f>VLOOKUP(S5,'alim continu'!$A$6:$B$12,2)</f>
        <v>Me</v>
      </c>
      <c r="U5" s="18">
        <f>V5</f>
        <v>42459</v>
      </c>
      <c r="V5" s="52">
        <v>42459</v>
      </c>
      <c r="W5" s="56">
        <f>WEEKDAY(Z5)</f>
        <v>6</v>
      </c>
      <c r="X5" s="15" t="str">
        <f>VLOOKUP(W5,'alim continu'!$A$6:$B$12,2)</f>
        <v>Ve</v>
      </c>
      <c r="Y5" s="20">
        <f>Z5</f>
        <v>42461.4</v>
      </c>
      <c r="Z5" s="52">
        <f t="shared" ref="Z5:Z16" si="0">V5+R5</f>
        <v>42461.4</v>
      </c>
      <c r="AA5" s="19">
        <v>0.6</v>
      </c>
      <c r="AB5" s="49">
        <f>R5+AA5</f>
        <v>3</v>
      </c>
      <c r="AC5" s="38"/>
      <c r="AD5" s="22"/>
      <c r="AE5" s="11" t="s">
        <v>36</v>
      </c>
      <c r="AF5" s="74" t="s">
        <v>208</v>
      </c>
    </row>
    <row r="6" spans="1:32" ht="42" customHeight="1">
      <c r="A6" s="6" t="s">
        <v>101</v>
      </c>
      <c r="B6" s="57">
        <v>2</v>
      </c>
      <c r="C6" s="57">
        <f>D5</f>
        <v>43</v>
      </c>
      <c r="D6" s="57">
        <v>110</v>
      </c>
      <c r="E6" s="57">
        <f>IF(D6-C6&lt;0,0,D6-C6)</f>
        <v>67</v>
      </c>
      <c r="F6" s="57">
        <f t="shared" ref="F6:F40" si="1">E6*1.609344</f>
        <v>107.82604800000001</v>
      </c>
      <c r="G6" s="57">
        <v>1</v>
      </c>
      <c r="H6" s="59">
        <f t="shared" ref="H6:H40" si="2">F6+G6</f>
        <v>108.82604800000001</v>
      </c>
      <c r="I6" s="57">
        <f>I5+H6</f>
        <v>178.02784000000003</v>
      </c>
      <c r="J6" s="57">
        <f>J5</f>
        <v>4.25</v>
      </c>
      <c r="K6" s="57">
        <f t="shared" ref="K6:K15" si="3">(N6/300)*2</f>
        <v>8</v>
      </c>
      <c r="L6" s="61">
        <f t="shared" ref="L6:L40" si="4">(H6+K6)/(J6*8)</f>
        <v>3.4360602352941179</v>
      </c>
      <c r="M6" s="17">
        <v>112.3</v>
      </c>
      <c r="N6" s="17">
        <v>1200</v>
      </c>
      <c r="O6" s="17">
        <f t="shared" ref="O6:O40" si="5">N6/R6</f>
        <v>342.85714285714283</v>
      </c>
      <c r="P6" s="8">
        <v>31.8</v>
      </c>
      <c r="Q6" s="8">
        <v>308</v>
      </c>
      <c r="R6" s="13">
        <v>3.5</v>
      </c>
      <c r="S6" s="8">
        <f t="shared" ref="S6:S29" si="6">WEEKDAY(V6)</f>
        <v>7</v>
      </c>
      <c r="T6" s="15" t="str">
        <f>VLOOKUP(S6,'alim continu'!$A$6:$B$12,2)</f>
        <v>Sa</v>
      </c>
      <c r="U6" s="18">
        <f t="shared" ref="U6:U40" si="7">V6</f>
        <v>42462</v>
      </c>
      <c r="V6" s="52">
        <f t="shared" ref="V6" si="8">Z5+AA5</f>
        <v>42462</v>
      </c>
      <c r="W6" s="56">
        <f t="shared" ref="W6:W16" si="9">WEEKDAY(Z6)</f>
        <v>3</v>
      </c>
      <c r="X6" s="15" t="str">
        <f>VLOOKUP(W6,'alim continu'!$A$6:$B$12,2)</f>
        <v>Ma</v>
      </c>
      <c r="Y6" s="20">
        <f t="shared" ref="Y6:Y40" si="10">Z6</f>
        <v>42465.5</v>
      </c>
      <c r="Z6" s="52">
        <f t="shared" si="0"/>
        <v>42465.5</v>
      </c>
      <c r="AA6" s="19">
        <v>0</v>
      </c>
      <c r="AB6" s="49">
        <f>AB5+R6+AA6</f>
        <v>6.5</v>
      </c>
      <c r="AC6" s="35" t="s">
        <v>62</v>
      </c>
      <c r="AD6" s="22"/>
      <c r="AE6" s="11" t="s">
        <v>37</v>
      </c>
      <c r="AF6" s="1" t="s">
        <v>191</v>
      </c>
    </row>
    <row r="7" spans="1:32" ht="40.5" customHeight="1">
      <c r="A7" s="6" t="s">
        <v>102</v>
      </c>
      <c r="B7" s="57">
        <v>3</v>
      </c>
      <c r="C7" s="57">
        <f t="shared" ref="C7:C40" si="11">D6</f>
        <v>110</v>
      </c>
      <c r="D7" s="57">
        <v>152</v>
      </c>
      <c r="E7" s="57">
        <f t="shared" ref="E7:E40" si="12">IF(D7-C7&lt;0,0,D7-C7)</f>
        <v>42</v>
      </c>
      <c r="F7" s="57">
        <f t="shared" si="1"/>
        <v>67.592448000000005</v>
      </c>
      <c r="G7" s="57">
        <v>0</v>
      </c>
      <c r="H7" s="59">
        <f t="shared" si="2"/>
        <v>67.592448000000005</v>
      </c>
      <c r="I7" s="57">
        <f t="shared" ref="I7:I40" si="13">I6+H7</f>
        <v>245.62028800000002</v>
      </c>
      <c r="J7" s="57">
        <f t="shared" ref="J7:J15" si="14">J6</f>
        <v>4.25</v>
      </c>
      <c r="K7" s="57">
        <f t="shared" si="3"/>
        <v>10.026666666666667</v>
      </c>
      <c r="L7" s="61">
        <f t="shared" si="4"/>
        <v>2.2829151372549021</v>
      </c>
      <c r="M7" s="17">
        <v>70.099999999999994</v>
      </c>
      <c r="N7" s="17">
        <v>1504</v>
      </c>
      <c r="O7" s="17">
        <f t="shared" si="5"/>
        <v>626.66666666666674</v>
      </c>
      <c r="P7" s="8">
        <v>29.5</v>
      </c>
      <c r="Q7" s="8">
        <v>633</v>
      </c>
      <c r="R7" s="13">
        <v>2.4</v>
      </c>
      <c r="S7" s="8">
        <f t="shared" si="6"/>
        <v>3</v>
      </c>
      <c r="T7" s="15" t="str">
        <f>VLOOKUP(S7,'alim continu'!$A$6:$B$12,2)</f>
        <v>Ma</v>
      </c>
      <c r="U7" s="18">
        <f t="shared" si="7"/>
        <v>42465.5</v>
      </c>
      <c r="V7" s="52">
        <f t="shared" ref="V7:V17" si="15">Z6+AA6</f>
        <v>42465.5</v>
      </c>
      <c r="W7" s="56">
        <f t="shared" si="9"/>
        <v>5</v>
      </c>
      <c r="X7" s="15" t="str">
        <f>VLOOKUP(W7,'alim continu'!$A$6:$B$12,2)</f>
        <v>Je</v>
      </c>
      <c r="Y7" s="20">
        <f t="shared" si="10"/>
        <v>42467.9</v>
      </c>
      <c r="Z7" s="52">
        <f t="shared" ref="Z7" si="16">V7+R7</f>
        <v>42467.9</v>
      </c>
      <c r="AA7" s="19">
        <v>0.1</v>
      </c>
      <c r="AB7" s="49">
        <f t="shared" ref="AB7:AB26" si="17">AB6+R7+AA7</f>
        <v>9</v>
      </c>
      <c r="AC7" s="35"/>
      <c r="AD7" s="22"/>
      <c r="AE7" s="11" t="s">
        <v>39</v>
      </c>
      <c r="AF7" s="2" t="s">
        <v>200</v>
      </c>
    </row>
    <row r="8" spans="1:32" ht="33.75" customHeight="1">
      <c r="A8" s="23" t="s">
        <v>103</v>
      </c>
      <c r="B8" s="57">
        <v>4</v>
      </c>
      <c r="C8" s="57">
        <f t="shared" si="11"/>
        <v>152</v>
      </c>
      <c r="D8" s="57">
        <v>180</v>
      </c>
      <c r="E8" s="57">
        <f t="shared" si="12"/>
        <v>28</v>
      </c>
      <c r="F8" s="57">
        <f t="shared" si="1"/>
        <v>45.061632000000003</v>
      </c>
      <c r="G8" s="57"/>
      <c r="H8" s="59">
        <f t="shared" si="2"/>
        <v>45.061632000000003</v>
      </c>
      <c r="I8" s="57">
        <f t="shared" si="13"/>
        <v>290.68191999999999</v>
      </c>
      <c r="J8" s="57">
        <f t="shared" si="14"/>
        <v>4.25</v>
      </c>
      <c r="K8" s="57">
        <f t="shared" si="3"/>
        <v>10.72</v>
      </c>
      <c r="L8" s="61">
        <f t="shared" si="4"/>
        <v>1.6406362352941177</v>
      </c>
      <c r="M8" s="17">
        <v>50</v>
      </c>
      <c r="N8" s="17">
        <v>1608</v>
      </c>
      <c r="O8" s="17">
        <f t="shared" si="5"/>
        <v>1624.2424242424242</v>
      </c>
      <c r="P8" s="8">
        <v>27.7</v>
      </c>
      <c r="Q8" s="8">
        <v>891</v>
      </c>
      <c r="R8" s="13">
        <v>0.99</v>
      </c>
      <c r="S8" s="8">
        <f t="shared" si="6"/>
        <v>6</v>
      </c>
      <c r="T8" s="15" t="str">
        <f>VLOOKUP(S8,'alim continu'!$A$6:$B$12,2)</f>
        <v>Ve</v>
      </c>
      <c r="U8" s="18">
        <f t="shared" si="7"/>
        <v>42468</v>
      </c>
      <c r="V8" s="52">
        <f t="shared" si="15"/>
        <v>42468</v>
      </c>
      <c r="W8" s="56">
        <f t="shared" si="9"/>
        <v>6</v>
      </c>
      <c r="X8" s="15" t="str">
        <f>VLOOKUP(W8,'alim continu'!$A$6:$B$12,2)</f>
        <v>Ve</v>
      </c>
      <c r="Y8" s="20">
        <f t="shared" si="10"/>
        <v>42468.99</v>
      </c>
      <c r="Z8" s="52">
        <f t="shared" si="0"/>
        <v>42468.99</v>
      </c>
      <c r="AA8" s="19">
        <v>1.1000000000000001</v>
      </c>
      <c r="AB8" s="49">
        <f t="shared" si="17"/>
        <v>11.09</v>
      </c>
      <c r="AC8" s="72" t="s">
        <v>196</v>
      </c>
      <c r="AD8" s="22">
        <f>R5+R6+R7+R8</f>
        <v>9.2900000000000009</v>
      </c>
      <c r="AE8" s="11" t="s">
        <v>38</v>
      </c>
      <c r="AF8" s="1" t="s">
        <v>197</v>
      </c>
    </row>
    <row r="9" spans="1:32" ht="41.25" customHeight="1">
      <c r="A9" s="6" t="s">
        <v>104</v>
      </c>
      <c r="B9" s="57">
        <v>5</v>
      </c>
      <c r="C9" s="57">
        <f t="shared" si="11"/>
        <v>180</v>
      </c>
      <c r="D9" s="57">
        <v>211</v>
      </c>
      <c r="E9" s="57">
        <f t="shared" si="12"/>
        <v>31</v>
      </c>
      <c r="F9" s="57">
        <f t="shared" si="1"/>
        <v>49.889664000000003</v>
      </c>
      <c r="G9" s="57"/>
      <c r="H9" s="59">
        <f t="shared" si="2"/>
        <v>49.889664000000003</v>
      </c>
      <c r="I9" s="57">
        <f t="shared" si="13"/>
        <v>340.57158399999997</v>
      </c>
      <c r="J9" s="57">
        <f t="shared" si="14"/>
        <v>4.25</v>
      </c>
      <c r="K9" s="57">
        <f t="shared" si="3"/>
        <v>4.4533333333333331</v>
      </c>
      <c r="L9" s="61">
        <f t="shared" si="4"/>
        <v>1.5983234509803923</v>
      </c>
      <c r="M9" s="17">
        <v>58.3</v>
      </c>
      <c r="N9" s="17">
        <v>668</v>
      </c>
      <c r="O9" s="17">
        <f t="shared" si="5"/>
        <v>351.57894736842104</v>
      </c>
      <c r="P9" s="8">
        <v>31.4</v>
      </c>
      <c r="Q9" s="8">
        <v>360</v>
      </c>
      <c r="R9" s="13">
        <v>1.9</v>
      </c>
      <c r="S9" s="8">
        <f t="shared" si="6"/>
        <v>1</v>
      </c>
      <c r="T9" s="15" t="str">
        <f>VLOOKUP(S9,'alim continu'!$A$6:$B$12,2)</f>
        <v>Di</v>
      </c>
      <c r="U9" s="18">
        <f t="shared" si="7"/>
        <v>42470.09</v>
      </c>
      <c r="V9" s="52">
        <f t="shared" si="15"/>
        <v>42470.09</v>
      </c>
      <c r="W9" s="56">
        <f t="shared" si="9"/>
        <v>2</v>
      </c>
      <c r="X9" s="15" t="str">
        <f>VLOOKUP(W9,'alim continu'!$A$6:$B$12,2)</f>
        <v>Lu</v>
      </c>
      <c r="Y9" s="20">
        <f t="shared" si="10"/>
        <v>42471.99</v>
      </c>
      <c r="Z9" s="52">
        <f t="shared" ref="Z9" si="18">V9+R9</f>
        <v>42471.99</v>
      </c>
      <c r="AA9" s="19">
        <v>0.1</v>
      </c>
      <c r="AB9" s="49">
        <f t="shared" si="17"/>
        <v>13.09</v>
      </c>
      <c r="AC9" s="38" t="s">
        <v>194</v>
      </c>
      <c r="AD9" s="21"/>
      <c r="AE9" s="11" t="s">
        <v>40</v>
      </c>
      <c r="AF9" s="1" t="s">
        <v>202</v>
      </c>
    </row>
    <row r="10" spans="1:32" ht="51.75" customHeight="1">
      <c r="A10" s="23" t="s">
        <v>105</v>
      </c>
      <c r="B10" s="57">
        <v>6</v>
      </c>
      <c r="C10" s="57">
        <f t="shared" si="11"/>
        <v>211</v>
      </c>
      <c r="D10" s="57">
        <v>266</v>
      </c>
      <c r="E10" s="57">
        <f t="shared" si="12"/>
        <v>55</v>
      </c>
      <c r="F10" s="57">
        <f t="shared" si="1"/>
        <v>88.513920000000013</v>
      </c>
      <c r="G10" s="57"/>
      <c r="H10" s="59">
        <f t="shared" si="2"/>
        <v>88.513920000000013</v>
      </c>
      <c r="I10" s="57">
        <f t="shared" si="13"/>
        <v>429.08550400000001</v>
      </c>
      <c r="J10" s="57">
        <f t="shared" si="14"/>
        <v>4.25</v>
      </c>
      <c r="K10" s="57">
        <f t="shared" si="3"/>
        <v>20.56</v>
      </c>
      <c r="L10" s="61">
        <f t="shared" si="4"/>
        <v>3.208056470588236</v>
      </c>
      <c r="M10" s="17">
        <v>101.4</v>
      </c>
      <c r="N10" s="17">
        <v>3084</v>
      </c>
      <c r="O10" s="17">
        <f t="shared" si="5"/>
        <v>3426.6666666666665</v>
      </c>
      <c r="P10" s="8">
        <v>28</v>
      </c>
      <c r="Q10" s="8">
        <v>851</v>
      </c>
      <c r="R10" s="13">
        <v>0.9</v>
      </c>
      <c r="S10" s="8">
        <f t="shared" si="6"/>
        <v>3</v>
      </c>
      <c r="T10" s="15" t="str">
        <f>VLOOKUP(S10,'alim continu'!$A$6:$B$12,2)</f>
        <v>Ma</v>
      </c>
      <c r="U10" s="18">
        <f t="shared" si="7"/>
        <v>42472.09</v>
      </c>
      <c r="V10" s="52">
        <f t="shared" si="15"/>
        <v>42472.09</v>
      </c>
      <c r="W10" s="56">
        <f t="shared" si="9"/>
        <v>3</v>
      </c>
      <c r="X10" s="15" t="str">
        <f>VLOOKUP(W10,'alim continu'!$A$6:$B$12,2)</f>
        <v>Ma</v>
      </c>
      <c r="Y10" s="20">
        <f t="shared" si="10"/>
        <v>42472.99</v>
      </c>
      <c r="Z10" s="52">
        <f t="shared" si="0"/>
        <v>42472.99</v>
      </c>
      <c r="AA10" s="19">
        <v>1.1000000000000001</v>
      </c>
      <c r="AB10" s="49">
        <f t="shared" si="17"/>
        <v>15.09</v>
      </c>
      <c r="AC10" s="36" t="s">
        <v>195</v>
      </c>
      <c r="AD10" s="21"/>
      <c r="AE10" s="11" t="s">
        <v>41</v>
      </c>
      <c r="AF10" s="1" t="s">
        <v>201</v>
      </c>
    </row>
    <row r="11" spans="1:32" ht="27" customHeight="1">
      <c r="A11" s="6" t="s">
        <v>106</v>
      </c>
      <c r="B11" s="57">
        <v>7</v>
      </c>
      <c r="C11" s="57">
        <f t="shared" si="11"/>
        <v>266</v>
      </c>
      <c r="D11" s="57">
        <v>370</v>
      </c>
      <c r="E11" s="57">
        <f t="shared" si="12"/>
        <v>104</v>
      </c>
      <c r="F11" s="57">
        <f t="shared" si="1"/>
        <v>167.37177600000001</v>
      </c>
      <c r="G11" s="57"/>
      <c r="H11" s="59">
        <f t="shared" si="2"/>
        <v>167.37177600000001</v>
      </c>
      <c r="I11" s="57">
        <f t="shared" si="13"/>
        <v>596.45728000000008</v>
      </c>
      <c r="J11" s="57">
        <f t="shared" si="14"/>
        <v>4.25</v>
      </c>
      <c r="K11" s="57">
        <f t="shared" si="3"/>
        <v>16.440000000000001</v>
      </c>
      <c r="L11" s="61">
        <f t="shared" si="4"/>
        <v>5.406228705882353</v>
      </c>
      <c r="M11" s="17">
        <v>150.1</v>
      </c>
      <c r="N11" s="17">
        <v>2466</v>
      </c>
      <c r="O11" s="17">
        <f t="shared" si="5"/>
        <v>503.26530612244892</v>
      </c>
      <c r="P11" s="8">
        <v>30.5</v>
      </c>
      <c r="Q11" s="8">
        <v>500</v>
      </c>
      <c r="R11" s="13">
        <v>4.9000000000000004</v>
      </c>
      <c r="S11" s="8">
        <f t="shared" si="6"/>
        <v>5</v>
      </c>
      <c r="T11" s="15" t="str">
        <f>VLOOKUP(S11,'alim continu'!$A$6:$B$12,2)</f>
        <v>Je</v>
      </c>
      <c r="U11" s="18">
        <f t="shared" si="7"/>
        <v>42474.09</v>
      </c>
      <c r="V11" s="52">
        <f t="shared" si="15"/>
        <v>42474.09</v>
      </c>
      <c r="W11" s="56">
        <f t="shared" si="9"/>
        <v>2</v>
      </c>
      <c r="X11" s="15" t="str">
        <f>VLOOKUP(W11,'alim continu'!$A$6:$B$12,2)</f>
        <v>Lu</v>
      </c>
      <c r="Y11" s="20">
        <f t="shared" si="10"/>
        <v>42478.99</v>
      </c>
      <c r="Z11" s="52">
        <f t="shared" si="0"/>
        <v>42478.99</v>
      </c>
      <c r="AA11" s="19">
        <v>1.1000000000000001</v>
      </c>
      <c r="AB11" s="49">
        <f t="shared" si="17"/>
        <v>21.090000000000003</v>
      </c>
      <c r="AC11" s="36" t="s">
        <v>198</v>
      </c>
      <c r="AD11" s="21">
        <f>R9+R10+R11</f>
        <v>7.7</v>
      </c>
      <c r="AE11" s="11" t="s">
        <v>42</v>
      </c>
      <c r="AF11" s="1" t="s">
        <v>199</v>
      </c>
    </row>
    <row r="12" spans="1:32" ht="30" customHeight="1">
      <c r="A12" s="6" t="s">
        <v>7</v>
      </c>
      <c r="B12" s="57">
        <v>8</v>
      </c>
      <c r="C12" s="57">
        <f t="shared" si="11"/>
        <v>370</v>
      </c>
      <c r="D12" s="57">
        <v>455</v>
      </c>
      <c r="E12" s="57">
        <f t="shared" si="12"/>
        <v>85</v>
      </c>
      <c r="F12" s="57">
        <f t="shared" si="1"/>
        <v>136.79424</v>
      </c>
      <c r="G12" s="57"/>
      <c r="H12" s="59">
        <f t="shared" si="2"/>
        <v>136.79424</v>
      </c>
      <c r="I12" s="57">
        <f t="shared" si="13"/>
        <v>733.25152000000003</v>
      </c>
      <c r="J12" s="57">
        <f t="shared" si="14"/>
        <v>4.25</v>
      </c>
      <c r="K12" s="57">
        <f t="shared" si="3"/>
        <v>21.5</v>
      </c>
      <c r="L12" s="61">
        <f t="shared" si="4"/>
        <v>4.6557129411764704</v>
      </c>
      <c r="M12" s="17">
        <v>146.19999999999999</v>
      </c>
      <c r="N12" s="17">
        <v>3225</v>
      </c>
      <c r="O12" s="17">
        <f t="shared" si="5"/>
        <v>658.16326530612241</v>
      </c>
      <c r="P12" s="8">
        <v>29.6</v>
      </c>
      <c r="Q12" s="8">
        <v>651</v>
      </c>
      <c r="R12" s="13">
        <v>4.9000000000000004</v>
      </c>
      <c r="S12" s="8">
        <f t="shared" si="6"/>
        <v>4</v>
      </c>
      <c r="T12" s="15" t="str">
        <f>VLOOKUP(S12,'alim continu'!$A$6:$B$12,2)</f>
        <v>Me</v>
      </c>
      <c r="U12" s="18">
        <f t="shared" si="7"/>
        <v>42480.09</v>
      </c>
      <c r="V12" s="52">
        <f t="shared" si="15"/>
        <v>42480.09</v>
      </c>
      <c r="W12" s="56">
        <f t="shared" si="9"/>
        <v>1</v>
      </c>
      <c r="X12" s="15" t="str">
        <f>VLOOKUP(W12,'alim continu'!$A$6:$B$12,2)</f>
        <v>Di</v>
      </c>
      <c r="Y12" s="20">
        <f t="shared" si="10"/>
        <v>42484.99</v>
      </c>
      <c r="Z12" s="52">
        <f t="shared" si="0"/>
        <v>42484.99</v>
      </c>
      <c r="AA12" s="19">
        <v>1.1000000000000001</v>
      </c>
      <c r="AB12" s="49">
        <f t="shared" si="17"/>
        <v>27.090000000000003</v>
      </c>
      <c r="AC12" s="36" t="s">
        <v>241</v>
      </c>
      <c r="AD12" s="21">
        <f>R12</f>
        <v>4.9000000000000004</v>
      </c>
      <c r="AE12" s="11" t="s">
        <v>43</v>
      </c>
      <c r="AF12" s="1" t="s">
        <v>240</v>
      </c>
    </row>
    <row r="13" spans="1:32" ht="39.75" customHeight="1">
      <c r="A13" s="47" t="s">
        <v>132</v>
      </c>
      <c r="B13" s="57">
        <v>9</v>
      </c>
      <c r="C13" s="57">
        <f t="shared" si="11"/>
        <v>455</v>
      </c>
      <c r="D13" s="57">
        <v>558</v>
      </c>
      <c r="E13" s="57">
        <f t="shared" si="12"/>
        <v>103</v>
      </c>
      <c r="F13" s="57">
        <f t="shared" si="1"/>
        <v>165.76243200000002</v>
      </c>
      <c r="G13" s="57"/>
      <c r="H13" s="59">
        <f t="shared" si="2"/>
        <v>165.76243200000002</v>
      </c>
      <c r="I13" s="57">
        <f t="shared" si="13"/>
        <v>899.01395200000002</v>
      </c>
      <c r="J13" s="57">
        <f t="shared" si="14"/>
        <v>4.25</v>
      </c>
      <c r="K13" s="57">
        <f t="shared" si="3"/>
        <v>23.22</v>
      </c>
      <c r="L13" s="61">
        <f t="shared" si="4"/>
        <v>5.5583068235294126</v>
      </c>
      <c r="M13" s="17">
        <v>167.3</v>
      </c>
      <c r="N13" s="17">
        <v>3483</v>
      </c>
      <c r="O13" s="17">
        <f t="shared" si="5"/>
        <v>621.96428571428578</v>
      </c>
      <c r="P13" s="8">
        <v>29.6</v>
      </c>
      <c r="Q13" s="8">
        <v>617</v>
      </c>
      <c r="R13" s="13">
        <v>5.6</v>
      </c>
      <c r="S13" s="8">
        <f t="shared" si="6"/>
        <v>3</v>
      </c>
      <c r="T13" s="15" t="str">
        <f>VLOOKUP(S13,'alim continu'!$A$6:$B$12,2)</f>
        <v>Ma</v>
      </c>
      <c r="U13" s="18">
        <f t="shared" si="7"/>
        <v>42486.09</v>
      </c>
      <c r="V13" s="52">
        <f t="shared" si="15"/>
        <v>42486.09</v>
      </c>
      <c r="W13" s="56">
        <f t="shared" si="9"/>
        <v>1</v>
      </c>
      <c r="X13" s="15" t="str">
        <f>VLOOKUP(W13,'alim continu'!$A$6:$B$12,2)</f>
        <v>Di</v>
      </c>
      <c r="Y13" s="20">
        <f t="shared" si="10"/>
        <v>42491.689999999995</v>
      </c>
      <c r="Z13" s="52">
        <f t="shared" si="0"/>
        <v>42491.689999999995</v>
      </c>
      <c r="AA13" s="19">
        <v>2.4</v>
      </c>
      <c r="AB13" s="49">
        <f t="shared" si="17"/>
        <v>35.090000000000003</v>
      </c>
      <c r="AC13" s="38" t="s">
        <v>198</v>
      </c>
      <c r="AD13" s="22">
        <f>R13</f>
        <v>5.6</v>
      </c>
      <c r="AE13" s="11" t="s">
        <v>44</v>
      </c>
      <c r="AF13" s="1" t="s">
        <v>133</v>
      </c>
    </row>
    <row r="14" spans="1:32" ht="75" customHeight="1">
      <c r="A14" s="44" t="s">
        <v>136</v>
      </c>
      <c r="B14" s="57">
        <v>10</v>
      </c>
      <c r="C14" s="57">
        <f t="shared" si="11"/>
        <v>558</v>
      </c>
      <c r="D14" s="57">
        <v>652</v>
      </c>
      <c r="E14" s="57">
        <f t="shared" si="12"/>
        <v>94</v>
      </c>
      <c r="F14" s="57">
        <f t="shared" si="1"/>
        <v>151.27833600000002</v>
      </c>
      <c r="G14" s="57"/>
      <c r="H14" s="59">
        <f t="shared" si="2"/>
        <v>151.27833600000002</v>
      </c>
      <c r="I14" s="57">
        <f t="shared" si="13"/>
        <v>1050.2922880000001</v>
      </c>
      <c r="J14" s="57">
        <f t="shared" si="14"/>
        <v>4.25</v>
      </c>
      <c r="K14" s="57">
        <f t="shared" si="3"/>
        <v>18.373333333333335</v>
      </c>
      <c r="L14" s="61">
        <f t="shared" si="4"/>
        <v>4.9897549803921573</v>
      </c>
      <c r="M14" s="17">
        <v>150.9</v>
      </c>
      <c r="N14" s="17">
        <v>2756</v>
      </c>
      <c r="O14" s="17">
        <f t="shared" si="5"/>
        <v>562.44897959183675</v>
      </c>
      <c r="P14" s="8">
        <v>30.1</v>
      </c>
      <c r="Q14" s="8">
        <v>550</v>
      </c>
      <c r="R14" s="13">
        <v>4.9000000000000004</v>
      </c>
      <c r="S14" s="8">
        <f t="shared" si="6"/>
        <v>4</v>
      </c>
      <c r="T14" s="15" t="str">
        <f>VLOOKUP(S14,'alim continu'!$A$6:$B$12,2)</f>
        <v>Me</v>
      </c>
      <c r="U14" s="18">
        <f t="shared" si="7"/>
        <v>42494.09</v>
      </c>
      <c r="V14" s="52">
        <f t="shared" si="15"/>
        <v>42494.09</v>
      </c>
      <c r="W14" s="56">
        <f t="shared" si="9"/>
        <v>1</v>
      </c>
      <c r="X14" s="15" t="str">
        <f>VLOOKUP(W14,'alim continu'!$A$6:$B$12,2)</f>
        <v>Di</v>
      </c>
      <c r="Y14" s="20">
        <f t="shared" si="10"/>
        <v>42498.99</v>
      </c>
      <c r="Z14" s="52">
        <f t="shared" si="0"/>
        <v>42498.99</v>
      </c>
      <c r="AA14" s="19">
        <v>1.1000000000000001</v>
      </c>
      <c r="AB14" s="49">
        <f t="shared" si="17"/>
        <v>41.09</v>
      </c>
      <c r="AC14" s="38" t="s">
        <v>138</v>
      </c>
      <c r="AD14" s="21"/>
      <c r="AE14" s="11" t="s">
        <v>45</v>
      </c>
      <c r="AF14" s="62" t="s">
        <v>242</v>
      </c>
    </row>
    <row r="15" spans="1:32" ht="39.75" customHeight="1">
      <c r="A15" s="44" t="s">
        <v>137</v>
      </c>
      <c r="B15" s="57">
        <v>11</v>
      </c>
      <c r="C15" s="57">
        <f t="shared" si="11"/>
        <v>652</v>
      </c>
      <c r="D15" s="57">
        <v>700</v>
      </c>
      <c r="E15" s="57">
        <f t="shared" si="12"/>
        <v>48</v>
      </c>
      <c r="F15" s="57">
        <f t="shared" si="1"/>
        <v>77.248512000000005</v>
      </c>
      <c r="G15" s="57"/>
      <c r="H15" s="59">
        <f t="shared" si="2"/>
        <v>77.248512000000005</v>
      </c>
      <c r="I15" s="57">
        <f t="shared" si="13"/>
        <v>1127.5408000000002</v>
      </c>
      <c r="J15" s="57">
        <f t="shared" si="14"/>
        <v>4.25</v>
      </c>
      <c r="K15" s="57">
        <f t="shared" si="3"/>
        <v>14.16</v>
      </c>
      <c r="L15" s="61">
        <f t="shared" si="4"/>
        <v>2.6884856470588234</v>
      </c>
      <c r="M15" s="17">
        <v>81.8</v>
      </c>
      <c r="N15" s="17">
        <v>2124</v>
      </c>
      <c r="O15" s="17">
        <f t="shared" si="5"/>
        <v>758.57142857142867</v>
      </c>
      <c r="P15" s="8">
        <v>28.7</v>
      </c>
      <c r="Q15" s="8">
        <v>746</v>
      </c>
      <c r="R15" s="13">
        <v>2.8</v>
      </c>
      <c r="S15" s="8">
        <f t="shared" si="6"/>
        <v>3</v>
      </c>
      <c r="T15" s="15" t="str">
        <f>VLOOKUP(S15,'alim continu'!$A$6:$B$12,2)</f>
        <v>Ma</v>
      </c>
      <c r="U15" s="18">
        <f t="shared" si="7"/>
        <v>42500.09</v>
      </c>
      <c r="V15" s="52">
        <f t="shared" si="15"/>
        <v>42500.09</v>
      </c>
      <c r="W15" s="56">
        <f t="shared" si="9"/>
        <v>5</v>
      </c>
      <c r="X15" s="15" t="str">
        <f>VLOOKUP(W15,'alim continu'!$A$6:$B$12,2)</f>
        <v>Je</v>
      </c>
      <c r="Y15" s="20">
        <f t="shared" si="10"/>
        <v>42502.89</v>
      </c>
      <c r="Z15" s="52">
        <f t="shared" si="0"/>
        <v>42502.89</v>
      </c>
      <c r="AA15" s="19">
        <v>3.2</v>
      </c>
      <c r="AB15" s="49">
        <f t="shared" si="17"/>
        <v>47.09</v>
      </c>
      <c r="AC15" s="35" t="s">
        <v>63</v>
      </c>
      <c r="AD15" s="21">
        <f>R14+R15</f>
        <v>7.7</v>
      </c>
      <c r="AE15" s="11" t="s">
        <v>46</v>
      </c>
      <c r="AF15" s="1" t="s">
        <v>204</v>
      </c>
    </row>
    <row r="16" spans="1:32" ht="64.5" customHeight="1">
      <c r="A16" s="24" t="s">
        <v>131</v>
      </c>
      <c r="B16" s="57">
        <v>12</v>
      </c>
      <c r="C16" s="57">
        <f t="shared" si="11"/>
        <v>700</v>
      </c>
      <c r="D16" s="57">
        <v>745</v>
      </c>
      <c r="E16" s="57">
        <f t="shared" si="12"/>
        <v>45</v>
      </c>
      <c r="F16" s="57">
        <f t="shared" si="1"/>
        <v>72.420479999999998</v>
      </c>
      <c r="G16" s="57">
        <v>25</v>
      </c>
      <c r="H16" s="59">
        <f t="shared" si="2"/>
        <v>97.420479999999998</v>
      </c>
      <c r="I16" s="57">
        <f t="shared" si="13"/>
        <v>1224.9612800000002</v>
      </c>
      <c r="J16" s="57">
        <v>3</v>
      </c>
      <c r="K16" s="57">
        <f t="shared" ref="K16:K40" si="19">(N16/300)*2</f>
        <v>15.266666666666667</v>
      </c>
      <c r="L16" s="61">
        <f t="shared" si="4"/>
        <v>4.6952977777777773</v>
      </c>
      <c r="M16" s="17">
        <f>70.6+25</f>
        <v>95.6</v>
      </c>
      <c r="N16" s="17">
        <v>2290</v>
      </c>
      <c r="O16" s="17">
        <f t="shared" si="5"/>
        <v>508.88888888888891</v>
      </c>
      <c r="P16" s="8">
        <v>19.3</v>
      </c>
      <c r="Q16" s="8">
        <v>626</v>
      </c>
      <c r="R16" s="13">
        <v>4.5</v>
      </c>
      <c r="S16" s="8">
        <f t="shared" ref="S16:S18" si="20">WEEKDAY(V16)</f>
        <v>2</v>
      </c>
      <c r="T16" s="15" t="str">
        <f>VLOOKUP(S16,'alim continu'!$A$6:$B$12,2)</f>
        <v>Lu</v>
      </c>
      <c r="U16" s="18">
        <f t="shared" ref="U16:U18" si="21">V16</f>
        <v>42506.09</v>
      </c>
      <c r="V16" s="52">
        <f t="shared" si="15"/>
        <v>42506.09</v>
      </c>
      <c r="W16" s="56">
        <f t="shared" si="9"/>
        <v>6</v>
      </c>
      <c r="X16" s="15" t="str">
        <f>VLOOKUP(W16,'alim continu'!$A$6:$B$12,2)</f>
        <v>Ve</v>
      </c>
      <c r="Y16" s="20">
        <f t="shared" ref="Y16" si="22">Z16</f>
        <v>42510.59</v>
      </c>
      <c r="Z16" s="52">
        <f t="shared" si="0"/>
        <v>42510.59</v>
      </c>
      <c r="AA16" s="19">
        <v>1.5</v>
      </c>
      <c r="AB16" s="49">
        <f t="shared" si="17"/>
        <v>53.09</v>
      </c>
      <c r="AC16" s="35"/>
      <c r="AD16" s="22">
        <f>R16</f>
        <v>4.5</v>
      </c>
      <c r="AE16" s="11" t="s">
        <v>64</v>
      </c>
      <c r="AF16" s="1" t="s">
        <v>244</v>
      </c>
    </row>
    <row r="17" spans="1:32" ht="63.75" customHeight="1">
      <c r="A17" s="24" t="s">
        <v>109</v>
      </c>
      <c r="B17" s="57">
        <v>13</v>
      </c>
      <c r="C17" s="57">
        <f t="shared" si="11"/>
        <v>745</v>
      </c>
      <c r="D17" s="57">
        <v>789</v>
      </c>
      <c r="E17" s="57">
        <f t="shared" si="12"/>
        <v>44</v>
      </c>
      <c r="F17" s="57">
        <f t="shared" si="1"/>
        <v>70.811136000000005</v>
      </c>
      <c r="G17" s="57">
        <v>25</v>
      </c>
      <c r="H17" s="59">
        <f t="shared" si="2"/>
        <v>95.811136000000005</v>
      </c>
      <c r="I17" s="57">
        <f t="shared" si="13"/>
        <v>1320.7724160000002</v>
      </c>
      <c r="J17" s="57">
        <v>3</v>
      </c>
      <c r="K17" s="57">
        <f t="shared" si="19"/>
        <v>13.766666666666667</v>
      </c>
      <c r="L17" s="61">
        <f t="shared" si="4"/>
        <v>4.5657417777777782</v>
      </c>
      <c r="M17" s="17">
        <f>88.1+25</f>
        <v>113.1</v>
      </c>
      <c r="N17" s="17">
        <v>2065</v>
      </c>
      <c r="O17" s="17">
        <f t="shared" si="5"/>
        <v>439.36170212765956</v>
      </c>
      <c r="P17" s="8">
        <v>20.399999999999999</v>
      </c>
      <c r="Q17" s="8">
        <v>478</v>
      </c>
      <c r="R17" s="13">
        <v>4.7</v>
      </c>
      <c r="S17" s="8">
        <f t="shared" si="20"/>
        <v>1</v>
      </c>
      <c r="T17" s="15" t="str">
        <f>VLOOKUP(S17,'alim continu'!$A$6:$B$12,2)</f>
        <v>Di</v>
      </c>
      <c r="U17" s="18">
        <f t="shared" si="21"/>
        <v>42512.09</v>
      </c>
      <c r="V17" s="52">
        <f t="shared" si="15"/>
        <v>42512.09</v>
      </c>
      <c r="W17" s="56">
        <f t="shared" ref="W17:W29" si="23">WEEKDAY(Z17)</f>
        <v>5</v>
      </c>
      <c r="X17" s="15" t="str">
        <f>VLOOKUP(W17,'alim continu'!$A$6:$B$12,2)</f>
        <v>Je</v>
      </c>
      <c r="Y17" s="20">
        <f t="shared" si="10"/>
        <v>42516.789999999994</v>
      </c>
      <c r="Z17" s="52">
        <f t="shared" ref="Z17:Z29" si="24">V17+R17</f>
        <v>42516.789999999994</v>
      </c>
      <c r="AA17" s="19">
        <v>1.3</v>
      </c>
      <c r="AB17" s="49">
        <f t="shared" si="17"/>
        <v>59.09</v>
      </c>
      <c r="AC17" s="35" t="s">
        <v>222</v>
      </c>
      <c r="AD17" s="21">
        <f>R17</f>
        <v>4.7</v>
      </c>
      <c r="AE17" s="11" t="s">
        <v>65</v>
      </c>
      <c r="AF17" s="62" t="s">
        <v>243</v>
      </c>
    </row>
    <row r="18" spans="1:32" ht="60.75" customHeight="1">
      <c r="A18" s="24" t="s">
        <v>110</v>
      </c>
      <c r="B18" s="57">
        <v>14</v>
      </c>
      <c r="C18" s="57">
        <f t="shared" si="11"/>
        <v>789</v>
      </c>
      <c r="D18" s="57">
        <v>879</v>
      </c>
      <c r="E18" s="57">
        <f t="shared" si="12"/>
        <v>90</v>
      </c>
      <c r="F18" s="57">
        <f t="shared" si="1"/>
        <v>144.84096</v>
      </c>
      <c r="G18" s="57">
        <v>25</v>
      </c>
      <c r="H18" s="59">
        <f t="shared" si="2"/>
        <v>169.84096</v>
      </c>
      <c r="I18" s="57">
        <f t="shared" si="13"/>
        <v>1490.6133760000002</v>
      </c>
      <c r="J18" s="57">
        <v>3</v>
      </c>
      <c r="K18" s="57">
        <f t="shared" si="19"/>
        <v>30.26</v>
      </c>
      <c r="L18" s="61">
        <f t="shared" si="4"/>
        <v>8.3375399999999988</v>
      </c>
      <c r="M18" s="17">
        <f>155.1+25</f>
        <v>180.1</v>
      </c>
      <c r="N18" s="17">
        <v>4539</v>
      </c>
      <c r="O18" s="17">
        <f t="shared" si="5"/>
        <v>546.86746987951801</v>
      </c>
      <c r="P18" s="8">
        <v>19.7</v>
      </c>
      <c r="Q18" s="8">
        <v>576</v>
      </c>
      <c r="R18" s="13">
        <v>8.3000000000000007</v>
      </c>
      <c r="S18" s="8">
        <f t="shared" si="20"/>
        <v>7</v>
      </c>
      <c r="T18" s="15" t="str">
        <f>VLOOKUP(S18,'alim continu'!$A$6:$B$12,2)</f>
        <v>Sa</v>
      </c>
      <c r="U18" s="18">
        <f t="shared" si="21"/>
        <v>42518.09</v>
      </c>
      <c r="V18" s="52">
        <f t="shared" ref="V18:V29" si="25">Z17+AA17</f>
        <v>42518.09</v>
      </c>
      <c r="W18" s="56">
        <f t="shared" si="23"/>
        <v>1</v>
      </c>
      <c r="X18" s="15" t="str">
        <f>VLOOKUP(W18,'alim continu'!$A$6:$B$12,2)</f>
        <v>Di</v>
      </c>
      <c r="Y18" s="20">
        <f t="shared" si="10"/>
        <v>42526.39</v>
      </c>
      <c r="Z18" s="52">
        <f t="shared" si="24"/>
        <v>42526.39</v>
      </c>
      <c r="AA18" s="19">
        <v>2.7</v>
      </c>
      <c r="AB18" s="49">
        <f t="shared" si="17"/>
        <v>70.09</v>
      </c>
      <c r="AC18" s="35" t="s">
        <v>29</v>
      </c>
      <c r="AD18" s="22">
        <f>R18</f>
        <v>8.3000000000000007</v>
      </c>
      <c r="AE18" s="11" t="s">
        <v>66</v>
      </c>
      <c r="AF18" s="2" t="s">
        <v>205</v>
      </c>
    </row>
    <row r="19" spans="1:32" ht="51" customHeight="1">
      <c r="A19" s="24" t="s">
        <v>111</v>
      </c>
      <c r="B19" s="57">
        <v>15</v>
      </c>
      <c r="C19" s="57">
        <f t="shared" si="11"/>
        <v>879</v>
      </c>
      <c r="D19" s="57">
        <v>942</v>
      </c>
      <c r="E19" s="57">
        <f t="shared" si="12"/>
        <v>63</v>
      </c>
      <c r="F19" s="57">
        <f t="shared" si="1"/>
        <v>101.38867200000001</v>
      </c>
      <c r="G19" s="57">
        <v>3</v>
      </c>
      <c r="H19" s="59">
        <f t="shared" si="2"/>
        <v>104.38867200000001</v>
      </c>
      <c r="I19" s="57">
        <f t="shared" si="13"/>
        <v>1595.0020480000003</v>
      </c>
      <c r="J19" s="57">
        <v>3</v>
      </c>
      <c r="K19" s="57">
        <f t="shared" si="19"/>
        <v>18.513333333333332</v>
      </c>
      <c r="L19" s="61">
        <f t="shared" si="4"/>
        <v>5.1209168888888899</v>
      </c>
      <c r="M19" s="17">
        <v>108.4</v>
      </c>
      <c r="N19" s="17">
        <v>2777</v>
      </c>
      <c r="O19" s="17">
        <f t="shared" si="5"/>
        <v>514.25925925925924</v>
      </c>
      <c r="P19" s="8">
        <v>20</v>
      </c>
      <c r="Q19" s="8">
        <v>528</v>
      </c>
      <c r="R19" s="13">
        <v>5.4</v>
      </c>
      <c r="S19" s="8">
        <f t="shared" si="6"/>
        <v>4</v>
      </c>
      <c r="T19" s="15" t="str">
        <f>VLOOKUP(S19,'alim continu'!$A$6:$B$12,2)</f>
        <v>Me</v>
      </c>
      <c r="U19" s="18">
        <f t="shared" si="7"/>
        <v>42529.09</v>
      </c>
      <c r="V19" s="52">
        <f t="shared" si="25"/>
        <v>42529.09</v>
      </c>
      <c r="W19" s="56">
        <f t="shared" si="23"/>
        <v>2</v>
      </c>
      <c r="X19" s="15" t="str">
        <f>VLOOKUP(W19,'alim continu'!$A$6:$B$12,2)</f>
        <v>Lu</v>
      </c>
      <c r="Y19" s="20">
        <f t="shared" si="10"/>
        <v>42534.49</v>
      </c>
      <c r="Z19" s="52">
        <f t="shared" si="24"/>
        <v>42534.49</v>
      </c>
      <c r="AA19" s="19">
        <v>1.6</v>
      </c>
      <c r="AB19" s="49">
        <f t="shared" si="17"/>
        <v>77.09</v>
      </c>
      <c r="AC19" s="35" t="s">
        <v>73</v>
      </c>
      <c r="AD19" s="21">
        <f>R19</f>
        <v>5.4</v>
      </c>
      <c r="AE19" s="11" t="s">
        <v>67</v>
      </c>
      <c r="AF19" s="2" t="s">
        <v>206</v>
      </c>
    </row>
    <row r="20" spans="1:32" ht="39" customHeight="1">
      <c r="A20" s="24" t="s">
        <v>112</v>
      </c>
      <c r="B20" s="57">
        <v>16</v>
      </c>
      <c r="C20" s="57">
        <f t="shared" si="11"/>
        <v>942</v>
      </c>
      <c r="D20" s="57">
        <v>1017</v>
      </c>
      <c r="E20" s="57">
        <f t="shared" si="12"/>
        <v>75</v>
      </c>
      <c r="F20" s="57">
        <f t="shared" si="1"/>
        <v>120.70080000000002</v>
      </c>
      <c r="G20" s="57"/>
      <c r="H20" s="59">
        <f t="shared" si="2"/>
        <v>120.70080000000002</v>
      </c>
      <c r="I20" s="57">
        <f t="shared" si="13"/>
        <v>1715.7028480000004</v>
      </c>
      <c r="J20" s="57">
        <v>3</v>
      </c>
      <c r="K20" s="57">
        <f t="shared" si="19"/>
        <v>24.893333333333334</v>
      </c>
      <c r="L20" s="61">
        <f t="shared" si="4"/>
        <v>6.066422222222223</v>
      </c>
      <c r="M20" s="17">
        <v>121.7</v>
      </c>
      <c r="N20" s="17">
        <v>3734</v>
      </c>
      <c r="O20" s="17">
        <f t="shared" si="5"/>
        <v>602.25806451612902</v>
      </c>
      <c r="P20" s="8">
        <v>19.5</v>
      </c>
      <c r="Q20" s="8">
        <v>599</v>
      </c>
      <c r="R20" s="13">
        <v>6.2</v>
      </c>
      <c r="S20" s="8">
        <f t="shared" si="6"/>
        <v>4</v>
      </c>
      <c r="T20" s="15" t="str">
        <f>VLOOKUP(S20,'alim continu'!$A$6:$B$12,2)</f>
        <v>Me</v>
      </c>
      <c r="U20" s="18">
        <f t="shared" si="7"/>
        <v>42536.09</v>
      </c>
      <c r="V20" s="52">
        <f t="shared" si="25"/>
        <v>42536.09</v>
      </c>
      <c r="W20" s="56">
        <f t="shared" si="23"/>
        <v>3</v>
      </c>
      <c r="X20" s="15" t="str">
        <f>VLOOKUP(W20,'alim continu'!$A$6:$B$12,2)</f>
        <v>Ma</v>
      </c>
      <c r="Y20" s="20">
        <f t="shared" si="10"/>
        <v>42542.289999999994</v>
      </c>
      <c r="Z20" s="52">
        <f t="shared" si="24"/>
        <v>42542.289999999994</v>
      </c>
      <c r="AA20" s="19">
        <v>0</v>
      </c>
      <c r="AB20" s="49">
        <f t="shared" si="17"/>
        <v>83.29</v>
      </c>
      <c r="AC20" s="35"/>
      <c r="AD20" s="22"/>
      <c r="AE20" s="11" t="s">
        <v>68</v>
      </c>
      <c r="AF20" s="1" t="s">
        <v>207</v>
      </c>
    </row>
    <row r="21" spans="1:32" ht="91.5" customHeight="1">
      <c r="A21" s="24" t="s">
        <v>100</v>
      </c>
      <c r="B21" s="57">
        <v>17</v>
      </c>
      <c r="C21" s="57">
        <f t="shared" si="11"/>
        <v>1017</v>
      </c>
      <c r="D21" s="57">
        <v>1091</v>
      </c>
      <c r="E21" s="57">
        <f t="shared" si="12"/>
        <v>74</v>
      </c>
      <c r="F21" s="57">
        <f t="shared" si="1"/>
        <v>119.09145600000001</v>
      </c>
      <c r="G21" s="57"/>
      <c r="H21" s="59">
        <f t="shared" si="2"/>
        <v>119.09145600000001</v>
      </c>
      <c r="I21" s="57">
        <f t="shared" si="13"/>
        <v>1834.7943040000005</v>
      </c>
      <c r="J21" s="57">
        <v>3</v>
      </c>
      <c r="K21" s="57">
        <f t="shared" si="19"/>
        <v>14.933333333333334</v>
      </c>
      <c r="L21" s="61">
        <f t="shared" si="4"/>
        <v>5.5843662222222221</v>
      </c>
      <c r="M21" s="17">
        <v>120.3</v>
      </c>
      <c r="N21" s="17">
        <v>2240</v>
      </c>
      <c r="O21" s="17">
        <f t="shared" si="5"/>
        <v>392.98245614035085</v>
      </c>
      <c r="P21" s="8">
        <v>21.1</v>
      </c>
      <c r="Q21" s="8">
        <v>392</v>
      </c>
      <c r="R21" s="13">
        <v>5.7</v>
      </c>
      <c r="S21" s="8">
        <f t="shared" si="6"/>
        <v>3</v>
      </c>
      <c r="T21" s="15" t="str">
        <f>VLOOKUP(S21,'alim continu'!$A$6:$B$12,2)</f>
        <v>Ma</v>
      </c>
      <c r="U21" s="18">
        <f t="shared" si="7"/>
        <v>42542.289999999994</v>
      </c>
      <c r="V21" s="52">
        <f>Z20+AA20</f>
        <v>42542.289999999994</v>
      </c>
      <c r="W21" s="56">
        <f t="shared" si="23"/>
        <v>1</v>
      </c>
      <c r="X21" s="15" t="str">
        <f>VLOOKUP(W21,'alim continu'!$A$6:$B$12,2)</f>
        <v>Di</v>
      </c>
      <c r="Y21" s="20">
        <f t="shared" si="10"/>
        <v>42547.989999999991</v>
      </c>
      <c r="Z21" s="52">
        <f t="shared" si="24"/>
        <v>42547.989999999991</v>
      </c>
      <c r="AA21" s="19">
        <v>1.2</v>
      </c>
      <c r="AB21" s="49">
        <f t="shared" si="17"/>
        <v>90.190000000000012</v>
      </c>
      <c r="AC21" s="73"/>
      <c r="AD21" s="22">
        <f>R20+R21</f>
        <v>11.9</v>
      </c>
      <c r="AE21" s="11" t="s">
        <v>70</v>
      </c>
      <c r="AF21" s="69" t="s">
        <v>247</v>
      </c>
    </row>
    <row r="22" spans="1:32" ht="62.25" customHeight="1">
      <c r="A22" s="6" t="s">
        <v>8</v>
      </c>
      <c r="B22" s="57">
        <v>18</v>
      </c>
      <c r="C22" s="57">
        <f t="shared" si="11"/>
        <v>1091</v>
      </c>
      <c r="D22" s="57">
        <v>1196</v>
      </c>
      <c r="E22" s="57">
        <f t="shared" si="12"/>
        <v>105</v>
      </c>
      <c r="F22" s="57">
        <f t="shared" si="1"/>
        <v>168.98112</v>
      </c>
      <c r="G22" s="57">
        <v>3</v>
      </c>
      <c r="H22" s="59">
        <f t="shared" si="2"/>
        <v>171.98112</v>
      </c>
      <c r="I22" s="57">
        <f t="shared" si="13"/>
        <v>2006.7754240000004</v>
      </c>
      <c r="J22" s="57">
        <v>4.25</v>
      </c>
      <c r="K22" s="57">
        <f t="shared" si="19"/>
        <v>22.78</v>
      </c>
      <c r="L22" s="61">
        <f t="shared" si="4"/>
        <v>5.7282682352941174</v>
      </c>
      <c r="M22" s="17">
        <v>170.4</v>
      </c>
      <c r="N22" s="17">
        <v>3417</v>
      </c>
      <c r="O22" s="17">
        <f t="shared" si="5"/>
        <v>670</v>
      </c>
      <c r="P22" s="8">
        <v>35.200000000000003</v>
      </c>
      <c r="Q22" s="8">
        <v>706</v>
      </c>
      <c r="R22" s="13">
        <v>5.0999999999999996</v>
      </c>
      <c r="S22" s="8">
        <f t="shared" si="6"/>
        <v>3</v>
      </c>
      <c r="T22" s="15" t="str">
        <f>VLOOKUP(S22,'alim continu'!$A$6:$B$12,2)</f>
        <v>Ma</v>
      </c>
      <c r="U22" s="18">
        <f t="shared" si="7"/>
        <v>42549.189999999988</v>
      </c>
      <c r="V22" s="52">
        <f t="shared" si="25"/>
        <v>42549.189999999988</v>
      </c>
      <c r="W22" s="56">
        <f t="shared" si="23"/>
        <v>1</v>
      </c>
      <c r="X22" s="15" t="str">
        <f>VLOOKUP(W22,'alim continu'!$A$6:$B$12,2)</f>
        <v>Di</v>
      </c>
      <c r="Y22" s="20">
        <f t="shared" si="10"/>
        <v>42554.289999999986</v>
      </c>
      <c r="Z22" s="52">
        <f t="shared" si="24"/>
        <v>42554.289999999986</v>
      </c>
      <c r="AA22" s="19">
        <v>1.3</v>
      </c>
      <c r="AB22" s="49">
        <f t="shared" si="17"/>
        <v>96.59</v>
      </c>
      <c r="AC22" s="38" t="s">
        <v>223</v>
      </c>
      <c r="AD22" s="21"/>
      <c r="AE22" s="25" t="s">
        <v>71</v>
      </c>
      <c r="AF22" s="37" t="s">
        <v>245</v>
      </c>
    </row>
    <row r="23" spans="1:32" ht="42.75" customHeight="1">
      <c r="A23" s="6" t="s">
        <v>9</v>
      </c>
      <c r="B23" s="57">
        <v>19</v>
      </c>
      <c r="C23" s="57">
        <f t="shared" si="11"/>
        <v>1196</v>
      </c>
      <c r="D23" s="57">
        <v>1265</v>
      </c>
      <c r="E23" s="57">
        <f t="shared" si="12"/>
        <v>69</v>
      </c>
      <c r="F23" s="57">
        <f t="shared" si="1"/>
        <v>111.044736</v>
      </c>
      <c r="G23" s="57"/>
      <c r="H23" s="59">
        <f t="shared" si="2"/>
        <v>111.044736</v>
      </c>
      <c r="I23" s="57">
        <f t="shared" si="13"/>
        <v>2117.8201600000002</v>
      </c>
      <c r="J23" s="57">
        <v>4.25</v>
      </c>
      <c r="K23" s="57">
        <f t="shared" si="19"/>
        <v>19.093333333333334</v>
      </c>
      <c r="L23" s="61">
        <f t="shared" si="4"/>
        <v>3.827590274509804</v>
      </c>
      <c r="M23" s="17">
        <v>116.9</v>
      </c>
      <c r="N23" s="17">
        <v>2864</v>
      </c>
      <c r="O23" s="17">
        <f t="shared" si="5"/>
        <v>795.55555555555554</v>
      </c>
      <c r="P23" s="8">
        <v>34.200000000000003</v>
      </c>
      <c r="Q23" s="8">
        <v>838</v>
      </c>
      <c r="R23" s="13">
        <v>3.6</v>
      </c>
      <c r="S23" s="8">
        <f t="shared" si="6"/>
        <v>2</v>
      </c>
      <c r="T23" s="15" t="str">
        <f>VLOOKUP(S23,'alim continu'!$A$6:$B$12,2)</f>
        <v>Lu</v>
      </c>
      <c r="U23" s="18">
        <f t="shared" si="7"/>
        <v>42555.589999999989</v>
      </c>
      <c r="V23" s="52">
        <f t="shared" si="25"/>
        <v>42555.589999999989</v>
      </c>
      <c r="W23" s="56">
        <f t="shared" si="23"/>
        <v>6</v>
      </c>
      <c r="X23" s="15" t="str">
        <f>VLOOKUP(W23,'alim continu'!$A$6:$B$12,2)</f>
        <v>Ve</v>
      </c>
      <c r="Y23" s="20">
        <f t="shared" si="10"/>
        <v>42559.189999999988</v>
      </c>
      <c r="Z23" s="52">
        <f t="shared" si="24"/>
        <v>42559.189999999988</v>
      </c>
      <c r="AA23" s="19">
        <v>0.9</v>
      </c>
      <c r="AB23" s="49">
        <f t="shared" si="17"/>
        <v>101.09</v>
      </c>
      <c r="AC23" s="35"/>
      <c r="AD23" s="21">
        <f>R22+R23</f>
        <v>8.6999999999999993</v>
      </c>
      <c r="AE23" s="25" t="s">
        <v>74</v>
      </c>
      <c r="AF23" s="1" t="s">
        <v>145</v>
      </c>
    </row>
    <row r="24" spans="1:32" ht="40.5" customHeight="1">
      <c r="A24" s="6" t="s">
        <v>75</v>
      </c>
      <c r="B24" s="57">
        <v>20</v>
      </c>
      <c r="C24" s="57">
        <f t="shared" si="11"/>
        <v>1265</v>
      </c>
      <c r="D24" s="57">
        <v>1348</v>
      </c>
      <c r="E24" s="57">
        <f t="shared" si="12"/>
        <v>83</v>
      </c>
      <c r="F24" s="57">
        <f t="shared" si="1"/>
        <v>133.57555200000002</v>
      </c>
      <c r="G24" s="57"/>
      <c r="H24" s="59">
        <f t="shared" si="2"/>
        <v>133.57555200000002</v>
      </c>
      <c r="I24" s="57">
        <f t="shared" si="13"/>
        <v>2251.3957120000005</v>
      </c>
      <c r="J24" s="57">
        <v>4.25</v>
      </c>
      <c r="K24" s="57">
        <f t="shared" si="19"/>
        <v>21.426666666666666</v>
      </c>
      <c r="L24" s="61">
        <f t="shared" si="4"/>
        <v>4.5588887843137265</v>
      </c>
      <c r="M24" s="17">
        <v>134</v>
      </c>
      <c r="N24" s="17">
        <v>3214</v>
      </c>
      <c r="O24" s="17">
        <f t="shared" si="5"/>
        <v>714.22222222222217</v>
      </c>
      <c r="P24" s="8">
        <v>34.299999999999997</v>
      </c>
      <c r="Q24" s="8">
        <v>824</v>
      </c>
      <c r="R24" s="13">
        <v>4.5</v>
      </c>
      <c r="S24" s="8">
        <f t="shared" si="6"/>
        <v>7</v>
      </c>
      <c r="T24" s="15" t="str">
        <f>VLOOKUP(S24,'alim continu'!$A$6:$B$12,2)</f>
        <v>Sa</v>
      </c>
      <c r="U24" s="18">
        <f t="shared" si="7"/>
        <v>42560.089999999989</v>
      </c>
      <c r="V24" s="52">
        <f t="shared" si="25"/>
        <v>42560.089999999989</v>
      </c>
      <c r="W24" s="56">
        <f t="shared" si="23"/>
        <v>4</v>
      </c>
      <c r="X24" s="15" t="str">
        <f>VLOOKUP(W24,'alim continu'!$A$6:$B$12,2)</f>
        <v>Me</v>
      </c>
      <c r="Y24" s="20">
        <f t="shared" si="10"/>
        <v>42564.589999999989</v>
      </c>
      <c r="Z24" s="52">
        <f t="shared" si="24"/>
        <v>42564.589999999989</v>
      </c>
      <c r="AA24" s="19">
        <v>0.5</v>
      </c>
      <c r="AB24" s="49">
        <f t="shared" si="17"/>
        <v>106.09</v>
      </c>
      <c r="AC24" s="38" t="s">
        <v>77</v>
      </c>
      <c r="AD24" s="22"/>
      <c r="AE24" s="25" t="s">
        <v>78</v>
      </c>
      <c r="AF24" s="2" t="s">
        <v>212</v>
      </c>
    </row>
    <row r="25" spans="1:32" ht="25.5" customHeight="1">
      <c r="A25" s="65" t="s">
        <v>80</v>
      </c>
      <c r="B25" s="57">
        <v>21</v>
      </c>
      <c r="C25" s="57">
        <f t="shared" si="11"/>
        <v>1348</v>
      </c>
      <c r="D25" s="57">
        <v>1375</v>
      </c>
      <c r="E25" s="57">
        <f t="shared" si="12"/>
        <v>27</v>
      </c>
      <c r="F25" s="57">
        <f t="shared" si="1"/>
        <v>43.452288000000003</v>
      </c>
      <c r="G25" s="57"/>
      <c r="H25" s="59">
        <f t="shared" si="2"/>
        <v>43.452288000000003</v>
      </c>
      <c r="I25" s="57">
        <f t="shared" si="13"/>
        <v>2294.8480000000004</v>
      </c>
      <c r="J25" s="57">
        <v>4.25</v>
      </c>
      <c r="K25" s="57">
        <f t="shared" si="19"/>
        <v>0.25133333333333335</v>
      </c>
      <c r="L25" s="61">
        <f t="shared" si="4"/>
        <v>1.2854006274509806</v>
      </c>
      <c r="M25" s="17">
        <v>41</v>
      </c>
      <c r="N25" s="17">
        <v>37.700000000000003</v>
      </c>
      <c r="O25" s="17">
        <f t="shared" si="5"/>
        <v>41.888888888888893</v>
      </c>
      <c r="P25" s="8">
        <v>370</v>
      </c>
      <c r="Q25" s="8">
        <v>1</v>
      </c>
      <c r="R25" s="13">
        <v>0.9</v>
      </c>
      <c r="S25" s="8">
        <f t="shared" ref="S25" si="26">WEEKDAY(V25)</f>
        <v>5</v>
      </c>
      <c r="T25" s="15" t="str">
        <f>VLOOKUP(S25,'alim continu'!$A$6:$B$12,2)</f>
        <v>Je</v>
      </c>
      <c r="U25" s="18">
        <f t="shared" ref="U25" si="27">V25</f>
        <v>42565.089999999989</v>
      </c>
      <c r="V25" s="52">
        <f t="shared" si="25"/>
        <v>42565.089999999989</v>
      </c>
      <c r="W25" s="56">
        <f t="shared" ref="W25" si="28">WEEKDAY(Z25)</f>
        <v>5</v>
      </c>
      <c r="X25" s="15" t="str">
        <f>VLOOKUP(W25,'alim continu'!$A$6:$B$12,2)</f>
        <v>Je</v>
      </c>
      <c r="Y25" s="20">
        <f t="shared" ref="Y25" si="29">Z25</f>
        <v>42565.989999999991</v>
      </c>
      <c r="Z25" s="52">
        <f t="shared" si="24"/>
        <v>42565.989999999991</v>
      </c>
      <c r="AA25" s="19">
        <v>0.1</v>
      </c>
      <c r="AB25" s="49">
        <f t="shared" si="17"/>
        <v>107.09</v>
      </c>
      <c r="AC25" s="38" t="s">
        <v>146</v>
      </c>
      <c r="AD25" s="22"/>
      <c r="AE25" s="25" t="s">
        <v>83</v>
      </c>
      <c r="AF25" s="3" t="s">
        <v>76</v>
      </c>
    </row>
    <row r="26" spans="1:32" ht="54" customHeight="1">
      <c r="A26" s="65" t="s">
        <v>161</v>
      </c>
      <c r="B26" s="57">
        <v>22</v>
      </c>
      <c r="C26" s="57">
        <f t="shared" si="11"/>
        <v>1375</v>
      </c>
      <c r="D26" s="57">
        <v>1417</v>
      </c>
      <c r="E26" s="57">
        <f t="shared" si="12"/>
        <v>42</v>
      </c>
      <c r="F26" s="57">
        <f t="shared" si="1"/>
        <v>67.592448000000005</v>
      </c>
      <c r="G26" s="57"/>
      <c r="H26" s="59">
        <f t="shared" si="2"/>
        <v>67.592448000000005</v>
      </c>
      <c r="I26" s="57">
        <f t="shared" si="13"/>
        <v>2362.4404480000003</v>
      </c>
      <c r="J26" s="57">
        <v>4.25</v>
      </c>
      <c r="K26" s="57">
        <f t="shared" si="19"/>
        <v>2.96</v>
      </c>
      <c r="L26" s="61">
        <f t="shared" si="4"/>
        <v>2.075072</v>
      </c>
      <c r="M26" s="17">
        <v>74</v>
      </c>
      <c r="N26" s="17">
        <v>444</v>
      </c>
      <c r="O26" s="17">
        <f t="shared" si="5"/>
        <v>233.68421052631581</v>
      </c>
      <c r="P26" s="8">
        <v>38.799999999999997</v>
      </c>
      <c r="Q26" s="8">
        <v>233</v>
      </c>
      <c r="R26" s="13">
        <v>1.9</v>
      </c>
      <c r="S26" s="8">
        <f t="shared" si="6"/>
        <v>6</v>
      </c>
      <c r="T26" s="15" t="str">
        <f>VLOOKUP(S26,'alim continu'!$A$6:$B$12,2)</f>
        <v>Ve</v>
      </c>
      <c r="U26" s="18">
        <f t="shared" si="7"/>
        <v>42566.089999999989</v>
      </c>
      <c r="V26" s="52">
        <f t="shared" si="25"/>
        <v>42566.089999999989</v>
      </c>
      <c r="W26" s="56">
        <f t="shared" si="23"/>
        <v>7</v>
      </c>
      <c r="X26" s="15" t="str">
        <f>VLOOKUP(W26,'alim continu'!$A$6:$B$12,2)</f>
        <v>Sa</v>
      </c>
      <c r="Y26" s="20">
        <f t="shared" si="10"/>
        <v>42567.989999999991</v>
      </c>
      <c r="Z26" s="52">
        <f t="shared" si="24"/>
        <v>42567.989999999991</v>
      </c>
      <c r="AA26" s="19">
        <v>0.1</v>
      </c>
      <c r="AB26" s="49">
        <f t="shared" si="17"/>
        <v>109.09</v>
      </c>
      <c r="AC26" s="35"/>
      <c r="AD26" s="22"/>
      <c r="AE26" s="25" t="s">
        <v>82</v>
      </c>
      <c r="AF26" s="1" t="s">
        <v>213</v>
      </c>
    </row>
    <row r="27" spans="1:32" ht="48">
      <c r="A27" s="6" t="s">
        <v>84</v>
      </c>
      <c r="B27" s="57">
        <v>23</v>
      </c>
      <c r="C27" s="57">
        <f t="shared" si="11"/>
        <v>1417</v>
      </c>
      <c r="D27" s="57">
        <v>1499</v>
      </c>
      <c r="E27" s="57">
        <f t="shared" si="12"/>
        <v>82</v>
      </c>
      <c r="F27" s="57">
        <f t="shared" si="1"/>
        <v>131.96620799999999</v>
      </c>
      <c r="G27" s="57"/>
      <c r="H27" s="59">
        <f t="shared" si="2"/>
        <v>131.96620799999999</v>
      </c>
      <c r="I27" s="57">
        <f t="shared" si="13"/>
        <v>2494.4066560000001</v>
      </c>
      <c r="J27" s="57">
        <v>4.25</v>
      </c>
      <c r="K27" s="57">
        <f t="shared" si="19"/>
        <v>16.253333333333334</v>
      </c>
      <c r="L27" s="61">
        <f t="shared" si="4"/>
        <v>4.3593982745098039</v>
      </c>
      <c r="M27" s="17">
        <v>136.5</v>
      </c>
      <c r="N27" s="17">
        <v>2438</v>
      </c>
      <c r="O27" s="17">
        <f t="shared" si="5"/>
        <v>625.1282051282052</v>
      </c>
      <c r="P27" s="8">
        <v>35.700000000000003</v>
      </c>
      <c r="Q27" s="8">
        <v>638</v>
      </c>
      <c r="R27" s="13">
        <v>3.9</v>
      </c>
      <c r="S27" s="8">
        <f t="shared" si="6"/>
        <v>1</v>
      </c>
      <c r="T27" s="15" t="str">
        <f>VLOOKUP(S27,'alim continu'!$A$6:$B$12,2)</f>
        <v>Di</v>
      </c>
      <c r="U27" s="18">
        <f t="shared" si="7"/>
        <v>42568.089999999989</v>
      </c>
      <c r="V27" s="52">
        <f t="shared" si="25"/>
        <v>42568.089999999989</v>
      </c>
      <c r="W27" s="56">
        <f t="shared" si="23"/>
        <v>4</v>
      </c>
      <c r="X27" s="15" t="str">
        <f>VLOOKUP(W27,'alim continu'!$A$6:$B$12,2)</f>
        <v>Me</v>
      </c>
      <c r="Y27" s="20">
        <f t="shared" si="10"/>
        <v>42571.989999999991</v>
      </c>
      <c r="Z27" s="52">
        <f t="shared" si="24"/>
        <v>42571.989999999991</v>
      </c>
      <c r="AA27" s="19">
        <v>0.2</v>
      </c>
      <c r="AB27" s="49"/>
      <c r="AC27" s="35" t="s">
        <v>113</v>
      </c>
      <c r="AD27" s="22">
        <f>R24+R26+R27+R25</f>
        <v>11.200000000000001</v>
      </c>
      <c r="AE27" s="43" t="s">
        <v>85</v>
      </c>
      <c r="AF27" s="1" t="s">
        <v>214</v>
      </c>
    </row>
    <row r="28" spans="1:32" ht="51" customHeight="1">
      <c r="A28" s="67" t="s">
        <v>209</v>
      </c>
      <c r="B28" s="57">
        <v>24</v>
      </c>
      <c r="C28" s="57">
        <f t="shared" si="11"/>
        <v>1499</v>
      </c>
      <c r="D28" s="57">
        <v>1597</v>
      </c>
      <c r="E28" s="57">
        <f t="shared" si="12"/>
        <v>98</v>
      </c>
      <c r="F28" s="57">
        <f t="shared" si="1"/>
        <v>157.715712</v>
      </c>
      <c r="G28" s="57"/>
      <c r="H28" s="59">
        <f t="shared" si="2"/>
        <v>157.715712</v>
      </c>
      <c r="I28" s="57">
        <f t="shared" si="13"/>
        <v>2652.1223680000003</v>
      </c>
      <c r="J28" s="57">
        <v>4.25</v>
      </c>
      <c r="K28" s="57">
        <f t="shared" si="19"/>
        <v>22.646666666666668</v>
      </c>
      <c r="L28" s="61">
        <f t="shared" si="4"/>
        <v>5.3047758431372554</v>
      </c>
      <c r="M28" s="17">
        <v>160.6</v>
      </c>
      <c r="N28" s="17">
        <v>3397</v>
      </c>
      <c r="O28" s="17">
        <f t="shared" si="5"/>
        <v>707.70833333333337</v>
      </c>
      <c r="P28" s="8">
        <v>35</v>
      </c>
      <c r="Q28" s="8">
        <v>739</v>
      </c>
      <c r="R28" s="13">
        <v>4.8</v>
      </c>
      <c r="S28" s="8">
        <f t="shared" si="6"/>
        <v>5</v>
      </c>
      <c r="T28" s="15" t="str">
        <f>VLOOKUP(S28,'alim continu'!$A$6:$B$12,2)</f>
        <v>Je</v>
      </c>
      <c r="U28" s="18">
        <f t="shared" si="7"/>
        <v>42572.189999999988</v>
      </c>
      <c r="V28" s="52">
        <f t="shared" si="25"/>
        <v>42572.189999999988</v>
      </c>
      <c r="W28" s="56">
        <f t="shared" si="23"/>
        <v>2</v>
      </c>
      <c r="X28" s="15" t="str">
        <f>VLOOKUP(W28,'alim continu'!$A$6:$B$12,2)</f>
        <v>Lu</v>
      </c>
      <c r="Y28" s="20">
        <f t="shared" si="10"/>
        <v>42576.989999999991</v>
      </c>
      <c r="Z28" s="52">
        <f t="shared" si="24"/>
        <v>42576.989999999991</v>
      </c>
      <c r="AA28" s="19">
        <v>1.4</v>
      </c>
      <c r="AB28" s="49"/>
      <c r="AC28" s="35" t="s">
        <v>251</v>
      </c>
      <c r="AD28" s="21">
        <v>5.4</v>
      </c>
      <c r="AE28" s="26" t="s">
        <v>158</v>
      </c>
      <c r="AF28" s="4" t="s">
        <v>211</v>
      </c>
    </row>
    <row r="29" spans="1:32" ht="33" customHeight="1">
      <c r="A29" s="6" t="s">
        <v>11</v>
      </c>
      <c r="B29" s="57">
        <v>25</v>
      </c>
      <c r="C29" s="57">
        <f t="shared" si="11"/>
        <v>1597</v>
      </c>
      <c r="D29" s="57">
        <v>1654</v>
      </c>
      <c r="E29" s="57">
        <f t="shared" si="12"/>
        <v>57</v>
      </c>
      <c r="F29" s="57">
        <f t="shared" si="1"/>
        <v>91.732607999999999</v>
      </c>
      <c r="G29" s="57"/>
      <c r="H29" s="59">
        <f t="shared" si="2"/>
        <v>91.732607999999999</v>
      </c>
      <c r="I29" s="57">
        <f t="shared" si="13"/>
        <v>2743.8549760000001</v>
      </c>
      <c r="J29" s="57">
        <v>4.25</v>
      </c>
      <c r="K29" s="57">
        <f t="shared" si="19"/>
        <v>8.4666666666666668</v>
      </c>
      <c r="L29" s="61">
        <f t="shared" si="4"/>
        <v>2.9470374901960783</v>
      </c>
      <c r="M29" s="17">
        <v>89.8</v>
      </c>
      <c r="N29" s="17">
        <v>1270</v>
      </c>
      <c r="O29" s="17">
        <f t="shared" si="5"/>
        <v>488.46153846153845</v>
      </c>
      <c r="P29" s="8">
        <v>36.6</v>
      </c>
      <c r="Q29" s="8">
        <v>518</v>
      </c>
      <c r="R29" s="13">
        <v>2.6</v>
      </c>
      <c r="S29" s="8">
        <f t="shared" si="6"/>
        <v>4</v>
      </c>
      <c r="T29" s="15" t="str">
        <f>VLOOKUP(S29,'alim continu'!$A$6:$B$12,2)</f>
        <v>Me</v>
      </c>
      <c r="U29" s="18">
        <f t="shared" si="7"/>
        <v>42578.389999999992</v>
      </c>
      <c r="V29" s="52">
        <f t="shared" si="25"/>
        <v>42578.389999999992</v>
      </c>
      <c r="W29" s="56">
        <f t="shared" si="23"/>
        <v>6</v>
      </c>
      <c r="X29" s="15" t="str">
        <f>VLOOKUP(W29,'alim continu'!$A$6:$B$12,2)</f>
        <v>Ve</v>
      </c>
      <c r="Y29" s="20">
        <f t="shared" si="10"/>
        <v>42580.989999999991</v>
      </c>
      <c r="Z29" s="52">
        <f t="shared" si="24"/>
        <v>42580.989999999991</v>
      </c>
      <c r="AA29" s="19">
        <v>0.2</v>
      </c>
      <c r="AB29" s="49"/>
      <c r="AC29" s="38" t="s">
        <v>27</v>
      </c>
      <c r="AD29" s="22"/>
      <c r="AE29" s="26" t="s">
        <v>86</v>
      </c>
      <c r="AF29" s="2" t="s">
        <v>215</v>
      </c>
    </row>
    <row r="30" spans="1:32" ht="42" customHeight="1">
      <c r="A30" s="6" t="s">
        <v>12</v>
      </c>
      <c r="B30" s="57">
        <v>26</v>
      </c>
      <c r="C30" s="57">
        <f t="shared" si="11"/>
        <v>1654</v>
      </c>
      <c r="D30" s="57">
        <v>1717</v>
      </c>
      <c r="E30" s="57">
        <f t="shared" si="12"/>
        <v>63</v>
      </c>
      <c r="F30" s="57">
        <f t="shared" si="1"/>
        <v>101.38867200000001</v>
      </c>
      <c r="G30" s="57"/>
      <c r="H30" s="59">
        <f t="shared" si="2"/>
        <v>101.38867200000001</v>
      </c>
      <c r="I30" s="57">
        <f t="shared" si="13"/>
        <v>2845.2436480000001</v>
      </c>
      <c r="J30" s="57">
        <v>4.25</v>
      </c>
      <c r="K30" s="57">
        <f t="shared" si="19"/>
        <v>20.326666666666668</v>
      </c>
      <c r="L30" s="61">
        <f t="shared" si="4"/>
        <v>3.5798629019607846</v>
      </c>
      <c r="M30" s="17">
        <v>103.9</v>
      </c>
      <c r="N30" s="17">
        <v>3049</v>
      </c>
      <c r="O30" s="17">
        <f t="shared" si="5"/>
        <v>923.93939393939399</v>
      </c>
      <c r="P30" s="8">
        <v>33.200000000000003</v>
      </c>
      <c r="Q30" s="8">
        <v>974</v>
      </c>
      <c r="R30" s="13">
        <v>3.3</v>
      </c>
      <c r="S30" s="8">
        <f t="shared" ref="S30:S40" si="30">WEEKDAY(V30)</f>
        <v>7</v>
      </c>
      <c r="T30" s="15" t="str">
        <f>VLOOKUP(S30,'alim continu'!$A$6:$B$12,2)</f>
        <v>Sa</v>
      </c>
      <c r="U30" s="18">
        <f t="shared" si="7"/>
        <v>42581.189999999988</v>
      </c>
      <c r="V30" s="52">
        <f t="shared" ref="V30:V40" si="31">Z29+AA29</f>
        <v>42581.189999999988</v>
      </c>
      <c r="W30" s="56">
        <f t="shared" ref="W30:W40" si="32">WEEKDAY(Z30)</f>
        <v>3</v>
      </c>
      <c r="X30" s="15" t="str">
        <f>VLOOKUP(W30,'alim continu'!$A$6:$B$12,2)</f>
        <v>Ma</v>
      </c>
      <c r="Y30" s="20">
        <f t="shared" si="10"/>
        <v>42584.489999999991</v>
      </c>
      <c r="Z30" s="52">
        <f t="shared" ref="Z30:Z40" si="33">V30+R30</f>
        <v>42584.489999999991</v>
      </c>
      <c r="AA30" s="19">
        <v>2.7</v>
      </c>
      <c r="AB30" s="49"/>
      <c r="AC30" s="35"/>
      <c r="AD30" s="22"/>
      <c r="AE30" s="26" t="s">
        <v>87</v>
      </c>
      <c r="AF30" s="1" t="s">
        <v>216</v>
      </c>
    </row>
    <row r="31" spans="1:32" ht="64.5" customHeight="1">
      <c r="A31" s="6" t="s">
        <v>13</v>
      </c>
      <c r="B31" s="57">
        <v>27</v>
      </c>
      <c r="C31" s="57">
        <f t="shared" si="11"/>
        <v>1717</v>
      </c>
      <c r="D31" s="57">
        <v>1819</v>
      </c>
      <c r="E31" s="57">
        <f t="shared" si="12"/>
        <v>102</v>
      </c>
      <c r="F31" s="57">
        <f t="shared" si="1"/>
        <v>164.15308800000003</v>
      </c>
      <c r="G31" s="57"/>
      <c r="H31" s="59">
        <f t="shared" si="2"/>
        <v>164.15308800000003</v>
      </c>
      <c r="I31" s="57">
        <f t="shared" si="13"/>
        <v>3009.3967360000001</v>
      </c>
      <c r="J31" s="57">
        <v>4.25</v>
      </c>
      <c r="K31" s="57">
        <f t="shared" si="19"/>
        <v>19.126666666666665</v>
      </c>
      <c r="L31" s="61">
        <f t="shared" si="4"/>
        <v>5.3905810196078434</v>
      </c>
      <c r="M31" s="17">
        <v>170</v>
      </c>
      <c r="N31" s="17">
        <v>2869</v>
      </c>
      <c r="O31" s="17">
        <f t="shared" si="5"/>
        <v>551.73076923076917</v>
      </c>
      <c r="P31" s="8">
        <v>36</v>
      </c>
      <c r="Q31" s="8">
        <v>607</v>
      </c>
      <c r="R31" s="13">
        <v>5.2</v>
      </c>
      <c r="S31" s="8">
        <f t="shared" si="30"/>
        <v>6</v>
      </c>
      <c r="T31" s="15" t="str">
        <f>VLOOKUP(S31,'alim continu'!$A$6:$B$12,2)</f>
        <v>Ve</v>
      </c>
      <c r="U31" s="18">
        <f t="shared" si="7"/>
        <v>42587.189999999988</v>
      </c>
      <c r="V31" s="52">
        <f t="shared" si="31"/>
        <v>42587.189999999988</v>
      </c>
      <c r="W31" s="56">
        <f t="shared" si="32"/>
        <v>4</v>
      </c>
      <c r="X31" s="15" t="str">
        <f>VLOOKUP(W31,'alim continu'!$A$6:$B$12,2)</f>
        <v>Me</v>
      </c>
      <c r="Y31" s="20">
        <f t="shared" si="10"/>
        <v>42592.389999999985</v>
      </c>
      <c r="Z31" s="52">
        <f t="shared" si="33"/>
        <v>42592.389999999985</v>
      </c>
      <c r="AA31" s="19">
        <v>0.7</v>
      </c>
      <c r="AB31" s="49"/>
      <c r="AC31" s="38" t="s">
        <v>28</v>
      </c>
      <c r="AD31" s="22">
        <f>R31+R30+R29</f>
        <v>11.1</v>
      </c>
      <c r="AE31" s="26" t="s">
        <v>89</v>
      </c>
      <c r="AF31" s="62" t="s">
        <v>246</v>
      </c>
    </row>
    <row r="32" spans="1:32" ht="40.5" customHeight="1">
      <c r="A32" s="6" t="s">
        <v>14</v>
      </c>
      <c r="B32" s="57">
        <v>28</v>
      </c>
      <c r="C32" s="57">
        <f t="shared" si="11"/>
        <v>1819</v>
      </c>
      <c r="D32" s="57">
        <v>1904</v>
      </c>
      <c r="E32" s="57">
        <f t="shared" si="12"/>
        <v>85</v>
      </c>
      <c r="F32" s="57">
        <f t="shared" si="1"/>
        <v>136.79424</v>
      </c>
      <c r="G32" s="57"/>
      <c r="H32" s="59">
        <f t="shared" si="2"/>
        <v>136.79424</v>
      </c>
      <c r="I32" s="57">
        <f t="shared" si="13"/>
        <v>3146.1909760000003</v>
      </c>
      <c r="J32" s="57">
        <v>4.25</v>
      </c>
      <c r="K32" s="57">
        <f t="shared" si="19"/>
        <v>14.226666666666667</v>
      </c>
      <c r="L32" s="61">
        <f t="shared" si="4"/>
        <v>4.4417913725490195</v>
      </c>
      <c r="M32" s="17">
        <v>137.69999999999999</v>
      </c>
      <c r="N32" s="17">
        <v>2134</v>
      </c>
      <c r="O32" s="17">
        <f t="shared" si="5"/>
        <v>547.17948717948718</v>
      </c>
      <c r="P32" s="8">
        <v>36.299999999999997</v>
      </c>
      <c r="Q32" s="8">
        <v>562</v>
      </c>
      <c r="R32" s="13">
        <v>3.9</v>
      </c>
      <c r="S32" s="8">
        <f t="shared" si="30"/>
        <v>5</v>
      </c>
      <c r="T32" s="15" t="str">
        <f>VLOOKUP(S32,'alim continu'!$A$6:$B$12,2)</f>
        <v>Je</v>
      </c>
      <c r="U32" s="18">
        <f t="shared" si="7"/>
        <v>42593.089999999982</v>
      </c>
      <c r="V32" s="52">
        <f t="shared" si="31"/>
        <v>42593.089999999982</v>
      </c>
      <c r="W32" s="56">
        <f t="shared" si="32"/>
        <v>1</v>
      </c>
      <c r="X32" s="15" t="str">
        <f>VLOOKUP(W32,'alim continu'!$A$6:$B$12,2)</f>
        <v>Di</v>
      </c>
      <c r="Y32" s="20">
        <f t="shared" si="10"/>
        <v>42596.989999999983</v>
      </c>
      <c r="Z32" s="52">
        <f t="shared" si="33"/>
        <v>42596.989999999983</v>
      </c>
      <c r="AA32" s="19">
        <v>1.2</v>
      </c>
      <c r="AB32" s="49"/>
      <c r="AC32" s="35" t="s">
        <v>150</v>
      </c>
      <c r="AD32" s="21"/>
      <c r="AE32" s="26" t="s">
        <v>90</v>
      </c>
      <c r="AF32" s="40" t="s">
        <v>88</v>
      </c>
    </row>
    <row r="33" spans="1:32" ht="87.75" customHeight="1">
      <c r="A33" s="6" t="s">
        <v>15</v>
      </c>
      <c r="B33" s="57">
        <v>29</v>
      </c>
      <c r="C33" s="57">
        <f t="shared" si="11"/>
        <v>1904</v>
      </c>
      <c r="D33" s="57">
        <v>1981</v>
      </c>
      <c r="E33" s="57">
        <f t="shared" si="12"/>
        <v>77</v>
      </c>
      <c r="F33" s="57">
        <f t="shared" si="1"/>
        <v>123.919488</v>
      </c>
      <c r="G33" s="57"/>
      <c r="H33" s="59">
        <f t="shared" si="2"/>
        <v>123.919488</v>
      </c>
      <c r="I33" s="57">
        <f t="shared" si="13"/>
        <v>3270.1104640000003</v>
      </c>
      <c r="J33" s="57">
        <v>4.25</v>
      </c>
      <c r="K33" s="57">
        <f t="shared" si="19"/>
        <v>11.906666666666666</v>
      </c>
      <c r="L33" s="61">
        <f t="shared" si="4"/>
        <v>3.9948869019607844</v>
      </c>
      <c r="M33" s="17">
        <v>125.4</v>
      </c>
      <c r="N33" s="17">
        <v>1786</v>
      </c>
      <c r="O33" s="17">
        <f t="shared" si="5"/>
        <v>496.11111111111109</v>
      </c>
      <c r="P33" s="8">
        <v>36.6</v>
      </c>
      <c r="Q33" s="8">
        <v>521</v>
      </c>
      <c r="R33" s="13">
        <v>3.6</v>
      </c>
      <c r="S33" s="8">
        <f t="shared" si="30"/>
        <v>3</v>
      </c>
      <c r="T33" s="15" t="str">
        <f>VLOOKUP(S33,'alim continu'!$A$6:$B$12,2)</f>
        <v>Ma</v>
      </c>
      <c r="U33" s="18">
        <f t="shared" si="7"/>
        <v>42598.189999999981</v>
      </c>
      <c r="V33" s="52">
        <f t="shared" si="31"/>
        <v>42598.189999999981</v>
      </c>
      <c r="W33" s="56">
        <f t="shared" si="32"/>
        <v>6</v>
      </c>
      <c r="X33" s="15" t="str">
        <f>VLOOKUP(W33,'alim continu'!$A$6:$B$12,2)</f>
        <v>Ve</v>
      </c>
      <c r="Y33" s="20">
        <f t="shared" si="10"/>
        <v>42601.789999999979</v>
      </c>
      <c r="Z33" s="52">
        <f t="shared" si="33"/>
        <v>42601.789999999979</v>
      </c>
      <c r="AA33" s="19">
        <v>0.6</v>
      </c>
      <c r="AB33" s="49"/>
      <c r="AC33" s="35" t="s">
        <v>26</v>
      </c>
      <c r="AD33" s="21">
        <f>R32+R33</f>
        <v>7.5</v>
      </c>
      <c r="AE33" s="43" t="s">
        <v>92</v>
      </c>
      <c r="AF33" s="1" t="s">
        <v>248</v>
      </c>
    </row>
    <row r="34" spans="1:32" ht="35.25" customHeight="1">
      <c r="A34" s="6" t="s">
        <v>16</v>
      </c>
      <c r="B34" s="57">
        <v>30</v>
      </c>
      <c r="C34" s="57">
        <f t="shared" si="11"/>
        <v>1981</v>
      </c>
      <c r="D34" s="57">
        <v>2094</v>
      </c>
      <c r="E34" s="57">
        <f t="shared" si="12"/>
        <v>113</v>
      </c>
      <c r="F34" s="57">
        <f t="shared" si="1"/>
        <v>181.85587200000001</v>
      </c>
      <c r="G34" s="57"/>
      <c r="H34" s="59">
        <f t="shared" si="2"/>
        <v>181.85587200000001</v>
      </c>
      <c r="I34" s="57">
        <f t="shared" si="13"/>
        <v>3451.9663360000004</v>
      </c>
      <c r="J34" s="57">
        <v>4.25</v>
      </c>
      <c r="K34" s="57">
        <f t="shared" si="19"/>
        <v>25.106666666666666</v>
      </c>
      <c r="L34" s="61">
        <f t="shared" si="4"/>
        <v>6.0871334901960781</v>
      </c>
      <c r="M34" s="17">
        <v>189.9</v>
      </c>
      <c r="N34" s="17">
        <v>3766</v>
      </c>
      <c r="O34" s="17">
        <f t="shared" si="5"/>
        <v>627.66666666666663</v>
      </c>
      <c r="P34" s="8">
        <v>35.299999999999997</v>
      </c>
      <c r="Q34" s="8">
        <v>699</v>
      </c>
      <c r="R34" s="13">
        <v>6</v>
      </c>
      <c r="S34" s="8">
        <f t="shared" si="30"/>
        <v>7</v>
      </c>
      <c r="T34" s="15" t="str">
        <f>VLOOKUP(S34,'alim continu'!$A$6:$B$12,2)</f>
        <v>Sa</v>
      </c>
      <c r="U34" s="18">
        <f t="shared" si="7"/>
        <v>42602.389999999978</v>
      </c>
      <c r="V34" s="52">
        <f t="shared" si="31"/>
        <v>42602.389999999978</v>
      </c>
      <c r="W34" s="56">
        <f t="shared" si="32"/>
        <v>6</v>
      </c>
      <c r="X34" s="15" t="str">
        <f>VLOOKUP(W34,'alim continu'!$A$6:$B$12,2)</f>
        <v>Ve</v>
      </c>
      <c r="Y34" s="20">
        <f t="shared" si="10"/>
        <v>42608.389999999978</v>
      </c>
      <c r="Z34" s="52">
        <f t="shared" si="33"/>
        <v>42608.389999999978</v>
      </c>
      <c r="AA34" s="19">
        <v>0.8</v>
      </c>
      <c r="AB34" s="49"/>
      <c r="AC34" s="35" t="s">
        <v>149</v>
      </c>
      <c r="AD34" s="77"/>
      <c r="AE34" s="11" t="s">
        <v>93</v>
      </c>
      <c r="AF34" s="1" t="s">
        <v>249</v>
      </c>
    </row>
    <row r="35" spans="1:32" ht="48">
      <c r="A35" s="6" t="s">
        <v>17</v>
      </c>
      <c r="B35" s="57">
        <v>31</v>
      </c>
      <c r="C35" s="57">
        <f t="shared" si="11"/>
        <v>2094</v>
      </c>
      <c r="D35" s="57">
        <v>2144</v>
      </c>
      <c r="E35" s="57">
        <f t="shared" si="12"/>
        <v>50</v>
      </c>
      <c r="F35" s="57">
        <f t="shared" si="1"/>
        <v>80.467200000000005</v>
      </c>
      <c r="G35" s="57"/>
      <c r="H35" s="59">
        <f t="shared" si="2"/>
        <v>80.467200000000005</v>
      </c>
      <c r="I35" s="57">
        <f t="shared" si="13"/>
        <v>3532.4335360000005</v>
      </c>
      <c r="J35" s="57">
        <v>4.25</v>
      </c>
      <c r="K35" s="57">
        <f t="shared" si="19"/>
        <v>8.413333333333334</v>
      </c>
      <c r="L35" s="61">
        <f t="shared" si="4"/>
        <v>2.6141333333333336</v>
      </c>
      <c r="M35" s="17">
        <v>77</v>
      </c>
      <c r="N35" s="17">
        <v>1262</v>
      </c>
      <c r="O35" s="17">
        <f t="shared" si="5"/>
        <v>573.63636363636363</v>
      </c>
      <c r="P35" s="8">
        <v>36.1</v>
      </c>
      <c r="Q35" s="8">
        <v>591</v>
      </c>
      <c r="R35" s="13">
        <v>2.2000000000000002</v>
      </c>
      <c r="S35" s="8">
        <f t="shared" si="30"/>
        <v>7</v>
      </c>
      <c r="T35" s="15" t="str">
        <f>VLOOKUP(S35,'alim continu'!$A$6:$B$12,2)</f>
        <v>Sa</v>
      </c>
      <c r="U35" s="18">
        <f t="shared" si="7"/>
        <v>42609.189999999981</v>
      </c>
      <c r="V35" s="52">
        <f t="shared" si="31"/>
        <v>42609.189999999981</v>
      </c>
      <c r="W35" s="56">
        <f t="shared" si="32"/>
        <v>2</v>
      </c>
      <c r="X35" s="15" t="str">
        <f>VLOOKUP(W35,'alim continu'!$A$6:$B$12,2)</f>
        <v>Lu</v>
      </c>
      <c r="Y35" s="20">
        <f t="shared" si="10"/>
        <v>42611.389999999978</v>
      </c>
      <c r="Z35" s="52">
        <f t="shared" si="33"/>
        <v>42611.389999999978</v>
      </c>
      <c r="AA35" s="19">
        <v>0.1</v>
      </c>
      <c r="AB35" s="49"/>
      <c r="AC35" s="35" t="s">
        <v>147</v>
      </c>
      <c r="AD35" s="77">
        <f>R35+R34</f>
        <v>8.1999999999999993</v>
      </c>
      <c r="AE35" s="11" t="s">
        <v>94</v>
      </c>
      <c r="AF35" s="41" t="s">
        <v>217</v>
      </c>
    </row>
    <row r="36" spans="1:32" ht="36">
      <c r="A36" s="6" t="s">
        <v>18</v>
      </c>
      <c r="B36" s="57">
        <v>32</v>
      </c>
      <c r="C36" s="57">
        <f t="shared" si="11"/>
        <v>2144</v>
      </c>
      <c r="D36" s="57">
        <v>2293</v>
      </c>
      <c r="E36" s="57">
        <f t="shared" si="12"/>
        <v>149</v>
      </c>
      <c r="F36" s="57">
        <f t="shared" si="1"/>
        <v>239.79225600000001</v>
      </c>
      <c r="G36" s="57"/>
      <c r="H36" s="59">
        <f t="shared" si="2"/>
        <v>239.79225600000001</v>
      </c>
      <c r="I36" s="57">
        <f t="shared" si="13"/>
        <v>3772.2257920000006</v>
      </c>
      <c r="J36" s="57">
        <v>4.25</v>
      </c>
      <c r="K36" s="57">
        <f t="shared" si="19"/>
        <v>42.313333333333333</v>
      </c>
      <c r="L36" s="61">
        <f t="shared" si="4"/>
        <v>8.2972232156862749</v>
      </c>
      <c r="M36" s="17">
        <v>237.8</v>
      </c>
      <c r="N36" s="17">
        <v>6347</v>
      </c>
      <c r="O36" s="17">
        <f t="shared" si="5"/>
        <v>793.375</v>
      </c>
      <c r="P36" s="8">
        <v>33.700000000000003</v>
      </c>
      <c r="Q36" s="8">
        <v>901</v>
      </c>
      <c r="R36" s="13">
        <v>8</v>
      </c>
      <c r="S36" s="8">
        <f t="shared" si="30"/>
        <v>2</v>
      </c>
      <c r="T36" s="15" t="str">
        <f>VLOOKUP(S36,'alim continu'!$A$6:$B$12,2)</f>
        <v>Lu</v>
      </c>
      <c r="U36" s="18">
        <f t="shared" si="7"/>
        <v>42611.489999999976</v>
      </c>
      <c r="V36" s="52">
        <f t="shared" si="31"/>
        <v>42611.489999999976</v>
      </c>
      <c r="W36" s="56">
        <f t="shared" si="32"/>
        <v>3</v>
      </c>
      <c r="X36" s="15" t="str">
        <f>VLOOKUP(W36,'alim continu'!$A$6:$B$12,2)</f>
        <v>Ma</v>
      </c>
      <c r="Y36" s="20">
        <f t="shared" si="10"/>
        <v>42619.489999999976</v>
      </c>
      <c r="Z36" s="52">
        <f t="shared" si="33"/>
        <v>42619.489999999976</v>
      </c>
      <c r="AA36" s="19">
        <v>0.6</v>
      </c>
      <c r="AB36" s="49"/>
      <c r="AC36" s="35" t="s">
        <v>148</v>
      </c>
      <c r="AD36" s="22"/>
      <c r="AE36" s="11" t="s">
        <v>95</v>
      </c>
      <c r="AF36" s="1" t="s">
        <v>218</v>
      </c>
    </row>
    <row r="37" spans="1:32" ht="51.75" customHeight="1">
      <c r="A37" s="6" t="s">
        <v>19</v>
      </c>
      <c r="B37" s="57">
        <v>33</v>
      </c>
      <c r="C37" s="57">
        <f t="shared" si="11"/>
        <v>2293</v>
      </c>
      <c r="D37" s="57">
        <v>2391</v>
      </c>
      <c r="E37" s="57">
        <f t="shared" si="12"/>
        <v>98</v>
      </c>
      <c r="F37" s="57">
        <f t="shared" si="1"/>
        <v>157.715712</v>
      </c>
      <c r="G37" s="57"/>
      <c r="H37" s="59">
        <f t="shared" si="2"/>
        <v>157.715712</v>
      </c>
      <c r="I37" s="57">
        <f t="shared" si="13"/>
        <v>3929.9415040000008</v>
      </c>
      <c r="J37" s="57">
        <v>4.25</v>
      </c>
      <c r="K37" s="57">
        <f t="shared" si="19"/>
        <v>18.666666666666668</v>
      </c>
      <c r="L37" s="61">
        <f t="shared" si="4"/>
        <v>5.1877170196078426</v>
      </c>
      <c r="M37" s="17">
        <v>159.4</v>
      </c>
      <c r="N37" s="17">
        <v>2800</v>
      </c>
      <c r="O37" s="17">
        <f t="shared" si="5"/>
        <v>538.46153846153845</v>
      </c>
      <c r="P37" s="8">
        <v>35.799999999999997</v>
      </c>
      <c r="Q37" s="8">
        <v>629</v>
      </c>
      <c r="R37" s="13">
        <v>5.2</v>
      </c>
      <c r="S37" s="8">
        <f t="shared" si="30"/>
        <v>4</v>
      </c>
      <c r="T37" s="15" t="str">
        <f>VLOOKUP(S37,'alim continu'!$A$6:$B$12,2)</f>
        <v>Me</v>
      </c>
      <c r="U37" s="18">
        <f t="shared" si="7"/>
        <v>42620.089999999975</v>
      </c>
      <c r="V37" s="52">
        <f t="shared" si="31"/>
        <v>42620.089999999975</v>
      </c>
      <c r="W37" s="56">
        <f t="shared" si="32"/>
        <v>2</v>
      </c>
      <c r="X37" s="15" t="str">
        <f>VLOOKUP(W37,'alim continu'!$A$6:$B$12,2)</f>
        <v>Lu</v>
      </c>
      <c r="Y37" s="20">
        <f t="shared" si="10"/>
        <v>42625.289999999972</v>
      </c>
      <c r="Z37" s="52">
        <f t="shared" si="33"/>
        <v>42625.289999999972</v>
      </c>
      <c r="AA37" s="19">
        <v>0.1</v>
      </c>
      <c r="AB37" s="49"/>
      <c r="AC37" s="35" t="s">
        <v>31</v>
      </c>
      <c r="AD37" s="22"/>
      <c r="AE37" s="11" t="s">
        <v>159</v>
      </c>
      <c r="AF37" s="1" t="s">
        <v>219</v>
      </c>
    </row>
    <row r="38" spans="1:32" ht="47.25" customHeight="1">
      <c r="A38" s="6" t="s">
        <v>96</v>
      </c>
      <c r="B38" s="57">
        <v>34</v>
      </c>
      <c r="C38" s="57">
        <f t="shared" si="11"/>
        <v>2391</v>
      </c>
      <c r="D38" s="57">
        <v>2462</v>
      </c>
      <c r="E38" s="57">
        <f t="shared" si="12"/>
        <v>71</v>
      </c>
      <c r="F38" s="57">
        <f t="shared" si="1"/>
        <v>114.26342400000001</v>
      </c>
      <c r="G38" s="57"/>
      <c r="H38" s="59">
        <f t="shared" si="2"/>
        <v>114.26342400000001</v>
      </c>
      <c r="I38" s="57">
        <f t="shared" si="13"/>
        <v>4044.204928000001</v>
      </c>
      <c r="J38" s="57">
        <v>4.25</v>
      </c>
      <c r="K38" s="57">
        <f t="shared" si="19"/>
        <v>27.333333333333332</v>
      </c>
      <c r="L38" s="61">
        <f t="shared" si="4"/>
        <v>4.1646105098039223</v>
      </c>
      <c r="M38" s="17">
        <v>120</v>
      </c>
      <c r="N38" s="17">
        <v>4100</v>
      </c>
      <c r="O38" s="17">
        <f t="shared" si="5"/>
        <v>1025</v>
      </c>
      <c r="P38" s="8">
        <v>32.200000000000003</v>
      </c>
      <c r="Q38" s="8">
        <v>1102</v>
      </c>
      <c r="R38" s="13">
        <v>4</v>
      </c>
      <c r="S38" s="8">
        <f t="shared" si="30"/>
        <v>2</v>
      </c>
      <c r="T38" s="15" t="str">
        <f>VLOOKUP(S38,'alim continu'!$A$6:$B$12,2)</f>
        <v>Lu</v>
      </c>
      <c r="U38" s="18">
        <f t="shared" si="7"/>
        <v>42625.38999999997</v>
      </c>
      <c r="V38" s="52">
        <f t="shared" si="31"/>
        <v>42625.38999999997</v>
      </c>
      <c r="W38" s="56">
        <f t="shared" si="32"/>
        <v>6</v>
      </c>
      <c r="X38" s="15" t="str">
        <f>VLOOKUP(W38,'alim continu'!$A$6:$B$12,2)</f>
        <v>Ve</v>
      </c>
      <c r="Y38" s="20">
        <f t="shared" si="10"/>
        <v>42629.38999999997</v>
      </c>
      <c r="Z38" s="52">
        <f t="shared" si="33"/>
        <v>42629.38999999997</v>
      </c>
      <c r="AA38" s="19">
        <v>1</v>
      </c>
      <c r="AB38" s="49"/>
      <c r="AC38" s="35" t="s">
        <v>32</v>
      </c>
      <c r="AD38" s="22"/>
      <c r="AE38" s="11" t="s">
        <v>97</v>
      </c>
      <c r="AF38" s="1" t="s">
        <v>221</v>
      </c>
    </row>
    <row r="39" spans="1:32" ht="100.5" customHeight="1">
      <c r="A39" s="67" t="s">
        <v>220</v>
      </c>
      <c r="B39" s="57">
        <v>35</v>
      </c>
      <c r="C39" s="57">
        <f t="shared" si="11"/>
        <v>2462</v>
      </c>
      <c r="D39" s="57">
        <v>2569</v>
      </c>
      <c r="E39" s="57">
        <f t="shared" si="12"/>
        <v>107</v>
      </c>
      <c r="F39" s="57">
        <f t="shared" si="1"/>
        <v>172.19980800000002</v>
      </c>
      <c r="G39" s="57"/>
      <c r="H39" s="59">
        <f t="shared" si="2"/>
        <v>172.19980800000002</v>
      </c>
      <c r="I39" s="57">
        <f t="shared" si="13"/>
        <v>4216.4047360000013</v>
      </c>
      <c r="J39" s="57">
        <v>4.25</v>
      </c>
      <c r="K39" s="57">
        <f t="shared" si="19"/>
        <v>34.26</v>
      </c>
      <c r="L39" s="61">
        <f t="shared" si="4"/>
        <v>6.0723472941176473</v>
      </c>
      <c r="M39" s="17">
        <v>157.5</v>
      </c>
      <c r="N39" s="17">
        <v>5139</v>
      </c>
      <c r="O39" s="17">
        <f t="shared" si="5"/>
        <v>917.67857142857144</v>
      </c>
      <c r="P39" s="8">
        <v>32.5</v>
      </c>
      <c r="Q39" s="8">
        <v>1062</v>
      </c>
      <c r="R39" s="13">
        <v>5.6</v>
      </c>
      <c r="S39" s="8">
        <f t="shared" si="30"/>
        <v>7</v>
      </c>
      <c r="T39" s="15" t="str">
        <f>VLOOKUP(S39,'alim continu'!$A$6:$B$12,2)</f>
        <v>Sa</v>
      </c>
      <c r="U39" s="18">
        <f t="shared" si="7"/>
        <v>42630.38999999997</v>
      </c>
      <c r="V39" s="52">
        <f t="shared" si="31"/>
        <v>42630.38999999997</v>
      </c>
      <c r="W39" s="56">
        <f t="shared" si="32"/>
        <v>5</v>
      </c>
      <c r="X39" s="15" t="str">
        <f>VLOOKUP(W39,'alim continu'!$A$6:$B$12,2)</f>
        <v>Je</v>
      </c>
      <c r="Y39" s="20">
        <f t="shared" si="10"/>
        <v>42635.989999999969</v>
      </c>
      <c r="Z39" s="52">
        <f t="shared" si="33"/>
        <v>42635.989999999969</v>
      </c>
      <c r="AA39" s="19">
        <v>1.2</v>
      </c>
      <c r="AB39" s="49"/>
      <c r="AC39" s="35" t="s">
        <v>33</v>
      </c>
      <c r="AD39" s="22">
        <f>R36+R37+R38+R39</f>
        <v>22.799999999999997</v>
      </c>
      <c r="AE39" s="11" t="s">
        <v>99</v>
      </c>
      <c r="AF39" s="41" t="s">
        <v>171</v>
      </c>
    </row>
    <row r="40" spans="1:32" ht="44.25" customHeight="1" thickBot="1">
      <c r="A40" s="6" t="s">
        <v>21</v>
      </c>
      <c r="B40" s="57">
        <v>36</v>
      </c>
      <c r="C40" s="57">
        <f t="shared" si="11"/>
        <v>2569</v>
      </c>
      <c r="D40" s="57">
        <v>2659</v>
      </c>
      <c r="E40" s="57">
        <f t="shared" si="12"/>
        <v>90</v>
      </c>
      <c r="F40" s="57">
        <f t="shared" si="1"/>
        <v>144.84096</v>
      </c>
      <c r="G40" s="57"/>
      <c r="H40" s="59">
        <f t="shared" si="2"/>
        <v>144.84096</v>
      </c>
      <c r="I40" s="57">
        <f t="shared" si="13"/>
        <v>4361.2456960000018</v>
      </c>
      <c r="J40" s="57">
        <v>4.25</v>
      </c>
      <c r="K40" s="57">
        <f t="shared" si="19"/>
        <v>27.133333333333333</v>
      </c>
      <c r="L40" s="61">
        <f t="shared" si="4"/>
        <v>5.058067450980392</v>
      </c>
      <c r="M40" s="17" t="s">
        <v>22</v>
      </c>
      <c r="N40" s="17">
        <v>4070</v>
      </c>
      <c r="O40" s="17">
        <f t="shared" si="5"/>
        <v>904.44444444444446</v>
      </c>
      <c r="P40" s="8">
        <v>33.4</v>
      </c>
      <c r="Q40" s="8">
        <v>945</v>
      </c>
      <c r="R40" s="27">
        <v>4.5</v>
      </c>
      <c r="S40" s="8">
        <f t="shared" si="30"/>
        <v>7</v>
      </c>
      <c r="T40" s="15" t="str">
        <f>VLOOKUP(S40,'alim continu'!$A$6:$B$12,2)</f>
        <v>Sa</v>
      </c>
      <c r="U40" s="18">
        <f t="shared" si="7"/>
        <v>42637.189999999966</v>
      </c>
      <c r="V40" s="52">
        <f t="shared" si="31"/>
        <v>42637.189999999966</v>
      </c>
      <c r="W40" s="56">
        <f t="shared" si="32"/>
        <v>4</v>
      </c>
      <c r="X40" s="15" t="str">
        <f>VLOOKUP(W40,'alim continu'!$A$6:$B$12,2)</f>
        <v>Me</v>
      </c>
      <c r="Y40" s="20">
        <f t="shared" si="10"/>
        <v>42641.689999999966</v>
      </c>
      <c r="Z40" s="52">
        <f t="shared" si="33"/>
        <v>42641.689999999966</v>
      </c>
      <c r="AA40" s="19">
        <v>0</v>
      </c>
      <c r="AB40" s="49"/>
      <c r="AC40" s="35" t="s">
        <v>23</v>
      </c>
      <c r="AD40" s="21">
        <f>R40</f>
        <v>4.5</v>
      </c>
      <c r="AE40" s="11"/>
      <c r="AF40" s="1" t="s">
        <v>98</v>
      </c>
    </row>
    <row r="41" spans="1:32" ht="12.75" thickBot="1">
      <c r="M41" s="30">
        <f>SUM(M5:M40)</f>
        <v>4297.5</v>
      </c>
      <c r="N41" s="30">
        <f>SUM(N5:N40)</f>
        <v>95864.7</v>
      </c>
      <c r="R41" s="31">
        <f>SUM(R5:R40)</f>
        <v>148.79</v>
      </c>
      <c r="AA41" s="31">
        <f>SUM(AA5:AA40)</f>
        <v>33.900000000000006</v>
      </c>
      <c r="AB41" s="50"/>
    </row>
  </sheetData>
  <mergeCells count="16">
    <mergeCell ref="Q1:AE1"/>
    <mergeCell ref="AF2:AF4"/>
    <mergeCell ref="Z3:Z4"/>
    <mergeCell ref="A3:A4"/>
    <mergeCell ref="M3:M4"/>
    <mergeCell ref="N3:N4"/>
    <mergeCell ref="P3:P4"/>
    <mergeCell ref="Q3:Q4"/>
    <mergeCell ref="V3:V4"/>
    <mergeCell ref="T2:U3"/>
    <mergeCell ref="X2:Y3"/>
    <mergeCell ref="AA2:AA3"/>
    <mergeCell ref="AB2:AB3"/>
    <mergeCell ref="AC2:AC4"/>
    <mergeCell ref="AE3:AE4"/>
    <mergeCell ref="O3:O4"/>
  </mergeCells>
  <pageMargins left="0.11811023622047245" right="0.19685039370078741" top="0.15748031496062992" bottom="0.15748031496062992" header="0" footer="0"/>
  <pageSetup paperSize="9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topLeftCell="C1" workbookViewId="0">
      <pane ySplit="4" topLeftCell="A5" activePane="bottomLeft" state="frozen"/>
      <selection pane="bottomLeft" activeCell="Y15" sqref="Y15"/>
    </sheetView>
  </sheetViews>
  <sheetFormatPr baseColWidth="10" defaultRowHeight="11.25"/>
  <cols>
    <col min="1" max="1" width="6.140625" style="81" hidden="1" customWidth="1"/>
    <col min="2" max="2" width="4.42578125" style="81" hidden="1" customWidth="1"/>
    <col min="3" max="3" width="36.85546875" style="81" customWidth="1"/>
    <col min="4" max="4" width="4.7109375" style="81" customWidth="1"/>
    <col min="5" max="5" width="3.42578125" style="82" customWidth="1"/>
    <col min="6" max="6" width="5.42578125" style="81" customWidth="1"/>
    <col min="7" max="7" width="3.28515625" style="81" customWidth="1"/>
    <col min="8" max="8" width="4.42578125" style="81" customWidth="1"/>
    <col min="9" max="9" width="5.5703125" style="81" customWidth="1"/>
    <col min="10" max="10" width="4.42578125" style="125" customWidth="1"/>
    <col min="11" max="11" width="5.140625" style="81" customWidth="1"/>
    <col min="12" max="12" width="4.85546875" style="81" customWidth="1"/>
    <col min="13" max="13" width="5" style="81" customWidth="1"/>
    <col min="14" max="14" width="4.85546875" style="81" customWidth="1"/>
    <col min="15" max="15" width="4.7109375" style="81" customWidth="1"/>
    <col min="16" max="16" width="5.140625" style="81" customWidth="1"/>
    <col min="17" max="17" width="3.85546875" style="125" customWidth="1"/>
    <col min="18" max="18" width="4.5703125" style="81" customWidth="1"/>
    <col min="19" max="20" width="4.7109375" style="81" customWidth="1"/>
    <col min="21" max="21" width="7" style="81" customWidth="1"/>
    <col min="22" max="22" width="7.42578125" style="81" customWidth="1"/>
    <col min="23" max="23" width="4.140625" style="81" customWidth="1"/>
    <col min="24" max="24" width="11.42578125" style="81"/>
    <col min="25" max="25" width="9.7109375" style="81" customWidth="1"/>
    <col min="26" max="26" width="6.7109375" style="81" customWidth="1"/>
    <col min="27" max="27" width="6.42578125" style="81" customWidth="1"/>
    <col min="28" max="28" width="7.140625" style="81" customWidth="1"/>
    <col min="29" max="29" width="5.5703125" style="81" customWidth="1"/>
    <col min="30" max="30" width="7.5703125" style="81" customWidth="1"/>
    <col min="31" max="31" width="6.7109375" style="81" customWidth="1"/>
    <col min="32" max="33" width="11.42578125" style="81"/>
    <col min="34" max="34" width="12.5703125" style="81" customWidth="1"/>
    <col min="35" max="16384" width="11.42578125" style="81"/>
  </cols>
  <sheetData>
    <row r="1" spans="1:23">
      <c r="H1" s="203" t="s">
        <v>255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23">
      <c r="F2" s="206" t="s">
        <v>125</v>
      </c>
      <c r="G2" s="206"/>
      <c r="H2" s="207" t="s">
        <v>130</v>
      </c>
      <c r="I2" s="207"/>
      <c r="J2" s="207"/>
      <c r="K2" s="207"/>
      <c r="L2" s="207"/>
      <c r="M2" s="207"/>
      <c r="N2" s="204" t="s">
        <v>115</v>
      </c>
      <c r="O2" s="205"/>
      <c r="P2" s="205"/>
      <c r="Q2" s="205"/>
      <c r="R2" s="205"/>
      <c r="S2" s="205"/>
      <c r="T2" s="205"/>
      <c r="U2" s="83"/>
      <c r="V2" s="84"/>
    </row>
    <row r="3" spans="1:23">
      <c r="C3" s="85" t="s">
        <v>114</v>
      </c>
      <c r="D3" s="86" t="s">
        <v>61</v>
      </c>
      <c r="E3" s="87" t="s">
        <v>126</v>
      </c>
      <c r="F3" s="86" t="s">
        <v>116</v>
      </c>
      <c r="G3" s="86" t="s">
        <v>117</v>
      </c>
      <c r="H3" s="86" t="s">
        <v>118</v>
      </c>
      <c r="I3" s="88" t="s">
        <v>119</v>
      </c>
      <c r="J3" s="86" t="s">
        <v>122</v>
      </c>
      <c r="K3" s="89" t="s">
        <v>120</v>
      </c>
      <c r="L3" s="86" t="s">
        <v>121</v>
      </c>
      <c r="M3" s="90" t="s">
        <v>128</v>
      </c>
      <c r="N3" s="86" t="s">
        <v>123</v>
      </c>
      <c r="O3" s="86" t="s">
        <v>262</v>
      </c>
      <c r="P3" s="86" t="s">
        <v>129</v>
      </c>
      <c r="Q3" s="86" t="s">
        <v>124</v>
      </c>
      <c r="R3" s="90" t="s">
        <v>128</v>
      </c>
      <c r="S3" s="89" t="s">
        <v>120</v>
      </c>
      <c r="T3" s="88" t="s">
        <v>119</v>
      </c>
      <c r="U3" s="86"/>
      <c r="V3" s="86" t="s">
        <v>135</v>
      </c>
    </row>
    <row r="4" spans="1:23">
      <c r="C4" s="85"/>
      <c r="D4" s="86">
        <v>1</v>
      </c>
      <c r="E4" s="87"/>
      <c r="F4" s="91">
        <f>achats!D17</f>
        <v>100</v>
      </c>
      <c r="G4" s="91">
        <f>achats!D16</f>
        <v>1</v>
      </c>
      <c r="H4" s="91">
        <f>achats!F10/20</f>
        <v>5</v>
      </c>
      <c r="I4" s="91">
        <f>achats!F9</f>
        <v>50</v>
      </c>
      <c r="J4" s="86">
        <f>achats!F$18/100</f>
        <v>1</v>
      </c>
      <c r="K4" s="91">
        <f>achats!F15</f>
        <v>50</v>
      </c>
      <c r="L4" s="91">
        <f>achats!F$20</f>
        <v>30</v>
      </c>
      <c r="M4" s="91">
        <f>achats!F$12</f>
        <v>50</v>
      </c>
      <c r="N4" s="91">
        <f>achats!H13</f>
        <v>20</v>
      </c>
      <c r="O4" s="91">
        <f>achats!F8+achats!H8</f>
        <v>50</v>
      </c>
      <c r="P4" s="91">
        <f>achats!H19</f>
        <v>50</v>
      </c>
      <c r="Q4" s="86">
        <f>achats!H11/136</f>
        <v>1</v>
      </c>
      <c r="R4" s="92">
        <f>achats!H12</f>
        <v>50</v>
      </c>
      <c r="S4" s="92">
        <f>achats!H15</f>
        <v>50</v>
      </c>
      <c r="T4" s="92">
        <f>achats!H9</f>
        <v>50</v>
      </c>
      <c r="U4" s="93"/>
      <c r="V4" s="93"/>
    </row>
    <row r="5" spans="1:23">
      <c r="C5" s="94" t="s">
        <v>127</v>
      </c>
      <c r="F5" s="95">
        <f>SUM(F6:F41)</f>
        <v>16100</v>
      </c>
      <c r="G5" s="95">
        <f t="shared" ref="G5:T5" si="0">SUM(G6:G41)</f>
        <v>161</v>
      </c>
      <c r="H5" s="95">
        <f t="shared" si="0"/>
        <v>805</v>
      </c>
      <c r="I5" s="95">
        <f t="shared" si="0"/>
        <v>8050</v>
      </c>
      <c r="J5" s="96">
        <f t="shared" si="0"/>
        <v>161</v>
      </c>
      <c r="K5" s="95">
        <f t="shared" si="0"/>
        <v>8050</v>
      </c>
      <c r="L5" s="95">
        <f t="shared" si="0"/>
        <v>4830</v>
      </c>
      <c r="M5" s="95">
        <f t="shared" si="0"/>
        <v>8050</v>
      </c>
      <c r="N5" s="95">
        <f t="shared" si="0"/>
        <v>2600</v>
      </c>
      <c r="O5" s="95">
        <f t="shared" si="0"/>
        <v>6550</v>
      </c>
      <c r="P5" s="95">
        <f t="shared" si="0"/>
        <v>6500</v>
      </c>
      <c r="Q5" s="96">
        <f t="shared" si="0"/>
        <v>139</v>
      </c>
      <c r="R5" s="95">
        <f t="shared" si="0"/>
        <v>6650</v>
      </c>
      <c r="S5" s="95">
        <f t="shared" si="0"/>
        <v>6900</v>
      </c>
      <c r="T5" s="95">
        <f t="shared" si="0"/>
        <v>6550</v>
      </c>
    </row>
    <row r="6" spans="1:23" ht="13.5" customHeight="1">
      <c r="A6" s="97">
        <v>1</v>
      </c>
      <c r="B6" s="81" t="s">
        <v>55</v>
      </c>
      <c r="C6" s="98" t="s">
        <v>35</v>
      </c>
      <c r="D6" s="99">
        <f>'PCT continu'!R5</f>
        <v>2.4</v>
      </c>
      <c r="E6" s="87">
        <f>'PCT continu'!B5</f>
        <v>1</v>
      </c>
      <c r="F6" s="93">
        <f t="shared" ref="F6:M15" si="1">(ROUNDUP($D6,0)*F$4)+F47</f>
        <v>300</v>
      </c>
      <c r="G6" s="93">
        <f t="shared" si="1"/>
        <v>3</v>
      </c>
      <c r="H6" s="93">
        <f t="shared" si="1"/>
        <v>15</v>
      </c>
      <c r="I6" s="93">
        <f t="shared" si="1"/>
        <v>150</v>
      </c>
      <c r="J6" s="100">
        <f t="shared" si="1"/>
        <v>3</v>
      </c>
      <c r="K6" s="93">
        <f t="shared" si="1"/>
        <v>150</v>
      </c>
      <c r="L6" s="93">
        <f t="shared" si="1"/>
        <v>90</v>
      </c>
      <c r="M6" s="93">
        <f t="shared" si="1"/>
        <v>150</v>
      </c>
      <c r="N6" s="93">
        <f t="shared" ref="N6:V9" si="2">(ROUNDDOWN($D6,0)*N$4)+N47</f>
        <v>40</v>
      </c>
      <c r="O6" s="93">
        <f t="shared" ref="O6:V6" si="3">ROUNDDOWN($D6,0)*O$4</f>
        <v>100</v>
      </c>
      <c r="P6" s="93">
        <f t="shared" si="3"/>
        <v>100</v>
      </c>
      <c r="Q6" s="100">
        <f t="shared" si="3"/>
        <v>2</v>
      </c>
      <c r="R6" s="93">
        <f t="shared" si="3"/>
        <v>100</v>
      </c>
      <c r="S6" s="93">
        <f t="shared" si="3"/>
        <v>100</v>
      </c>
      <c r="T6" s="93">
        <f t="shared" si="3"/>
        <v>100</v>
      </c>
      <c r="U6" s="93">
        <f t="shared" si="3"/>
        <v>0</v>
      </c>
      <c r="V6" s="93">
        <f t="shared" si="3"/>
        <v>0</v>
      </c>
      <c r="W6" s="81">
        <v>0</v>
      </c>
    </row>
    <row r="7" spans="1:23" ht="13.5" customHeight="1">
      <c r="A7" s="97">
        <v>2</v>
      </c>
      <c r="B7" s="81" t="s">
        <v>49</v>
      </c>
      <c r="C7" s="101" t="s">
        <v>101</v>
      </c>
      <c r="D7" s="93">
        <f>'PCT continu'!R6</f>
        <v>3.5</v>
      </c>
      <c r="E7" s="102">
        <f>'PCT continu'!B6</f>
        <v>2</v>
      </c>
      <c r="F7" s="103">
        <f t="shared" si="1"/>
        <v>400</v>
      </c>
      <c r="G7" s="103">
        <f t="shared" si="1"/>
        <v>4</v>
      </c>
      <c r="H7" s="103">
        <f t="shared" si="1"/>
        <v>20</v>
      </c>
      <c r="I7" s="103">
        <f t="shared" si="1"/>
        <v>200</v>
      </c>
      <c r="J7" s="104">
        <f t="shared" si="1"/>
        <v>4</v>
      </c>
      <c r="K7" s="103">
        <f t="shared" si="1"/>
        <v>200</v>
      </c>
      <c r="L7" s="103">
        <f t="shared" si="1"/>
        <v>120</v>
      </c>
      <c r="M7" s="103">
        <f t="shared" si="1"/>
        <v>200</v>
      </c>
      <c r="N7" s="103">
        <f t="shared" si="2"/>
        <v>60</v>
      </c>
      <c r="O7" s="103">
        <f t="shared" si="2"/>
        <v>150</v>
      </c>
      <c r="P7" s="103">
        <f t="shared" si="2"/>
        <v>150</v>
      </c>
      <c r="Q7" s="103">
        <f t="shared" si="2"/>
        <v>3</v>
      </c>
      <c r="R7" s="103">
        <f t="shared" si="2"/>
        <v>150</v>
      </c>
      <c r="S7" s="103">
        <f t="shared" si="2"/>
        <v>150</v>
      </c>
      <c r="T7" s="103">
        <f t="shared" si="2"/>
        <v>150</v>
      </c>
      <c r="U7" s="103">
        <f t="shared" si="2"/>
        <v>0</v>
      </c>
      <c r="V7" s="103">
        <f t="shared" si="2"/>
        <v>0</v>
      </c>
      <c r="W7" s="81">
        <v>0</v>
      </c>
    </row>
    <row r="8" spans="1:23" ht="13.5" customHeight="1">
      <c r="A8" s="97">
        <v>3</v>
      </c>
      <c r="B8" s="81" t="s">
        <v>50</v>
      </c>
      <c r="C8" s="101" t="s">
        <v>102</v>
      </c>
      <c r="D8" s="93">
        <f>'PCT continu'!R7</f>
        <v>2.4</v>
      </c>
      <c r="E8" s="102">
        <f>'PCT continu'!B7</f>
        <v>3</v>
      </c>
      <c r="F8" s="103">
        <f t="shared" si="1"/>
        <v>300</v>
      </c>
      <c r="G8" s="103">
        <f t="shared" si="1"/>
        <v>3</v>
      </c>
      <c r="H8" s="103">
        <f t="shared" si="1"/>
        <v>15</v>
      </c>
      <c r="I8" s="103">
        <f t="shared" si="1"/>
        <v>150</v>
      </c>
      <c r="J8" s="104">
        <f t="shared" si="1"/>
        <v>3</v>
      </c>
      <c r="K8" s="103">
        <f t="shared" si="1"/>
        <v>150</v>
      </c>
      <c r="L8" s="103">
        <f t="shared" si="1"/>
        <v>90</v>
      </c>
      <c r="M8" s="103">
        <f t="shared" si="1"/>
        <v>150</v>
      </c>
      <c r="N8" s="103">
        <f t="shared" si="2"/>
        <v>40</v>
      </c>
      <c r="O8" s="103">
        <f t="shared" si="2"/>
        <v>100</v>
      </c>
      <c r="P8" s="103">
        <f t="shared" si="2"/>
        <v>100</v>
      </c>
      <c r="Q8" s="103">
        <f t="shared" si="2"/>
        <v>3</v>
      </c>
      <c r="R8" s="103">
        <f t="shared" si="2"/>
        <v>150</v>
      </c>
      <c r="S8" s="103">
        <f t="shared" si="2"/>
        <v>150</v>
      </c>
      <c r="T8" s="103">
        <f t="shared" si="2"/>
        <v>150</v>
      </c>
      <c r="U8" s="103">
        <f t="shared" si="2"/>
        <v>0</v>
      </c>
      <c r="V8" s="103">
        <f t="shared" si="2"/>
        <v>0</v>
      </c>
      <c r="W8" s="81">
        <v>1</v>
      </c>
    </row>
    <row r="9" spans="1:23" ht="13.5" customHeight="1">
      <c r="A9" s="97">
        <v>4</v>
      </c>
      <c r="B9" s="81" t="s">
        <v>51</v>
      </c>
      <c r="C9" s="105" t="s">
        <v>103</v>
      </c>
      <c r="D9" s="93">
        <f>'PCT continu'!R8</f>
        <v>0.99</v>
      </c>
      <c r="E9" s="87">
        <f>'PCT continu'!B8</f>
        <v>4</v>
      </c>
      <c r="F9" s="93">
        <f t="shared" si="1"/>
        <v>0</v>
      </c>
      <c r="G9" s="93">
        <f t="shared" si="1"/>
        <v>0</v>
      </c>
      <c r="H9" s="93">
        <f t="shared" si="1"/>
        <v>0</v>
      </c>
      <c r="I9" s="93">
        <f t="shared" si="1"/>
        <v>0</v>
      </c>
      <c r="J9" s="100">
        <f t="shared" si="1"/>
        <v>0</v>
      </c>
      <c r="K9" s="93">
        <f t="shared" si="1"/>
        <v>0</v>
      </c>
      <c r="L9" s="93">
        <f t="shared" si="1"/>
        <v>0</v>
      </c>
      <c r="M9" s="93">
        <f t="shared" si="1"/>
        <v>0</v>
      </c>
      <c r="N9" s="93">
        <f t="shared" si="2"/>
        <v>0</v>
      </c>
      <c r="O9" s="93">
        <f t="shared" ref="O9:V9" si="4">(ROUNDDOWN($D9,0)*O$4)+O50</f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0</v>
      </c>
      <c r="U9" s="93">
        <f t="shared" si="4"/>
        <v>0</v>
      </c>
      <c r="V9" s="93">
        <f t="shared" si="4"/>
        <v>0</v>
      </c>
      <c r="W9" s="81">
        <v>1</v>
      </c>
    </row>
    <row r="10" spans="1:23" ht="13.5" customHeight="1">
      <c r="A10" s="97">
        <v>5</v>
      </c>
      <c r="B10" s="81" t="s">
        <v>52</v>
      </c>
      <c r="C10" s="105" t="s">
        <v>104</v>
      </c>
      <c r="D10" s="99">
        <f>'PCT continu'!R9</f>
        <v>1.9</v>
      </c>
      <c r="E10" s="87">
        <f>'PCT continu'!B9</f>
        <v>5</v>
      </c>
      <c r="F10" s="93">
        <f t="shared" si="1"/>
        <v>200</v>
      </c>
      <c r="G10" s="93">
        <f t="shared" si="1"/>
        <v>2</v>
      </c>
      <c r="H10" s="93">
        <f t="shared" si="1"/>
        <v>10</v>
      </c>
      <c r="I10" s="93">
        <f t="shared" si="1"/>
        <v>100</v>
      </c>
      <c r="J10" s="100">
        <f t="shared" si="1"/>
        <v>2</v>
      </c>
      <c r="K10" s="93">
        <f t="shared" si="1"/>
        <v>100</v>
      </c>
      <c r="L10" s="93">
        <f t="shared" si="1"/>
        <v>60</v>
      </c>
      <c r="M10" s="93">
        <f t="shared" si="1"/>
        <v>100</v>
      </c>
      <c r="N10" s="93">
        <f t="shared" ref="N10:V10" si="5">(ROUNDDOWN($D10,0)*N$4)+N51</f>
        <v>20</v>
      </c>
      <c r="O10" s="93">
        <f t="shared" si="5"/>
        <v>50</v>
      </c>
      <c r="P10" s="93">
        <f t="shared" si="5"/>
        <v>50</v>
      </c>
      <c r="Q10" s="93">
        <f t="shared" si="5"/>
        <v>1</v>
      </c>
      <c r="R10" s="93">
        <f t="shared" si="5"/>
        <v>50</v>
      </c>
      <c r="S10" s="93">
        <f t="shared" si="5"/>
        <v>50</v>
      </c>
      <c r="T10" s="93">
        <f t="shared" si="5"/>
        <v>50</v>
      </c>
      <c r="U10" s="93">
        <f t="shared" si="5"/>
        <v>0</v>
      </c>
      <c r="V10" s="93">
        <f t="shared" si="5"/>
        <v>0</v>
      </c>
      <c r="W10" s="81">
        <v>0</v>
      </c>
    </row>
    <row r="11" spans="1:23" ht="13.5" customHeight="1">
      <c r="A11" s="97">
        <v>6</v>
      </c>
      <c r="B11" s="81" t="s">
        <v>53</v>
      </c>
      <c r="C11" s="105" t="s">
        <v>263</v>
      </c>
      <c r="D11" s="93">
        <f>'PCT continu'!R10</f>
        <v>0.9</v>
      </c>
      <c r="E11" s="106">
        <f>'PCT continu'!B10</f>
        <v>6</v>
      </c>
      <c r="F11" s="93">
        <f t="shared" si="1"/>
        <v>100</v>
      </c>
      <c r="G11" s="93">
        <f t="shared" si="1"/>
        <v>1</v>
      </c>
      <c r="H11" s="93">
        <f t="shared" si="1"/>
        <v>5</v>
      </c>
      <c r="I11" s="93">
        <f t="shared" si="1"/>
        <v>50</v>
      </c>
      <c r="J11" s="100">
        <f t="shared" si="1"/>
        <v>1</v>
      </c>
      <c r="K11" s="93">
        <f t="shared" si="1"/>
        <v>50</v>
      </c>
      <c r="L11" s="93">
        <f t="shared" si="1"/>
        <v>30</v>
      </c>
      <c r="M11" s="93">
        <f t="shared" si="1"/>
        <v>50</v>
      </c>
      <c r="N11" s="93">
        <f t="shared" ref="N11:V11" si="6">(ROUNDDOWN($D11,0)*N$4)+N52</f>
        <v>0</v>
      </c>
      <c r="O11" s="93">
        <f t="shared" si="6"/>
        <v>0</v>
      </c>
      <c r="P11" s="93">
        <f t="shared" si="6"/>
        <v>0</v>
      </c>
      <c r="Q11" s="93">
        <f t="shared" si="6"/>
        <v>0</v>
      </c>
      <c r="R11" s="93">
        <f t="shared" si="6"/>
        <v>0</v>
      </c>
      <c r="S11" s="93">
        <f t="shared" si="6"/>
        <v>0</v>
      </c>
      <c r="T11" s="93">
        <f t="shared" si="6"/>
        <v>0</v>
      </c>
      <c r="U11" s="93">
        <f t="shared" si="6"/>
        <v>0</v>
      </c>
      <c r="V11" s="93">
        <f t="shared" si="6"/>
        <v>0</v>
      </c>
      <c r="W11" s="81">
        <v>0</v>
      </c>
    </row>
    <row r="12" spans="1:23" ht="13.5" customHeight="1">
      <c r="A12" s="97">
        <v>7</v>
      </c>
      <c r="B12" s="81" t="s">
        <v>54</v>
      </c>
      <c r="C12" s="105" t="s">
        <v>106</v>
      </c>
      <c r="D12" s="93">
        <f>'PCT continu'!R11</f>
        <v>4.9000000000000004</v>
      </c>
      <c r="E12" s="87">
        <f>'PCT continu'!B11</f>
        <v>7</v>
      </c>
      <c r="F12" s="93">
        <f t="shared" si="1"/>
        <v>500</v>
      </c>
      <c r="G12" s="93">
        <f t="shared" si="1"/>
        <v>5</v>
      </c>
      <c r="H12" s="93">
        <f t="shared" si="1"/>
        <v>25</v>
      </c>
      <c r="I12" s="93">
        <f t="shared" si="1"/>
        <v>250</v>
      </c>
      <c r="J12" s="100">
        <f t="shared" si="1"/>
        <v>5</v>
      </c>
      <c r="K12" s="93">
        <f t="shared" si="1"/>
        <v>250</v>
      </c>
      <c r="L12" s="93">
        <f t="shared" si="1"/>
        <v>150</v>
      </c>
      <c r="M12" s="93">
        <f t="shared" si="1"/>
        <v>250</v>
      </c>
      <c r="N12" s="93">
        <f t="shared" ref="N12:V12" si="7">(ROUNDDOWN($D12,0)*N$4)+N53</f>
        <v>80</v>
      </c>
      <c r="O12" s="93">
        <f t="shared" si="7"/>
        <v>200</v>
      </c>
      <c r="P12" s="93">
        <f t="shared" si="7"/>
        <v>200</v>
      </c>
      <c r="Q12" s="93">
        <f t="shared" si="7"/>
        <v>4</v>
      </c>
      <c r="R12" s="93">
        <f t="shared" si="7"/>
        <v>200</v>
      </c>
      <c r="S12" s="93">
        <f t="shared" si="7"/>
        <v>200</v>
      </c>
      <c r="T12" s="93">
        <f t="shared" si="7"/>
        <v>200</v>
      </c>
      <c r="U12" s="93">
        <f t="shared" si="7"/>
        <v>0</v>
      </c>
      <c r="V12" s="93">
        <f t="shared" si="7"/>
        <v>0</v>
      </c>
      <c r="W12" s="81">
        <v>0</v>
      </c>
    </row>
    <row r="13" spans="1:23" ht="13.5" customHeight="1">
      <c r="A13" s="97"/>
      <c r="C13" s="105" t="s">
        <v>7</v>
      </c>
      <c r="D13" s="93">
        <f>'PCT continu'!R12</f>
        <v>4.9000000000000004</v>
      </c>
      <c r="E13" s="87">
        <f>'PCT continu'!B12</f>
        <v>8</v>
      </c>
      <c r="F13" s="93">
        <f t="shared" si="1"/>
        <v>500</v>
      </c>
      <c r="G13" s="93">
        <f t="shared" si="1"/>
        <v>5</v>
      </c>
      <c r="H13" s="93">
        <f t="shared" si="1"/>
        <v>25</v>
      </c>
      <c r="I13" s="93">
        <f t="shared" si="1"/>
        <v>250</v>
      </c>
      <c r="J13" s="100">
        <f t="shared" si="1"/>
        <v>5</v>
      </c>
      <c r="K13" s="93">
        <f t="shared" si="1"/>
        <v>250</v>
      </c>
      <c r="L13" s="93">
        <f t="shared" si="1"/>
        <v>150</v>
      </c>
      <c r="M13" s="93">
        <f t="shared" si="1"/>
        <v>250</v>
      </c>
      <c r="N13" s="93">
        <f t="shared" ref="N13:V13" si="8">(ROUNDDOWN($D13,0)*N$4)+N54</f>
        <v>80</v>
      </c>
      <c r="O13" s="93">
        <f t="shared" si="8"/>
        <v>200</v>
      </c>
      <c r="P13" s="93">
        <f t="shared" si="8"/>
        <v>200</v>
      </c>
      <c r="Q13" s="93">
        <f t="shared" si="8"/>
        <v>4</v>
      </c>
      <c r="R13" s="93">
        <f t="shared" si="8"/>
        <v>200</v>
      </c>
      <c r="S13" s="93">
        <f t="shared" si="8"/>
        <v>200</v>
      </c>
      <c r="T13" s="93">
        <f t="shared" si="8"/>
        <v>200</v>
      </c>
      <c r="U13" s="93">
        <f t="shared" si="8"/>
        <v>0</v>
      </c>
      <c r="V13" s="93">
        <f t="shared" si="8"/>
        <v>0</v>
      </c>
      <c r="W13" s="81">
        <v>0</v>
      </c>
    </row>
    <row r="14" spans="1:23" ht="13.5" customHeight="1">
      <c r="A14" s="97"/>
      <c r="C14" s="105" t="s">
        <v>107</v>
      </c>
      <c r="D14" s="93">
        <f>'PCT continu'!R13</f>
        <v>5.6</v>
      </c>
      <c r="E14" s="87">
        <f>'PCT continu'!B13</f>
        <v>9</v>
      </c>
      <c r="F14" s="93">
        <f t="shared" si="1"/>
        <v>600</v>
      </c>
      <c r="G14" s="93">
        <f t="shared" si="1"/>
        <v>6</v>
      </c>
      <c r="H14" s="93">
        <f t="shared" si="1"/>
        <v>30</v>
      </c>
      <c r="I14" s="93">
        <f t="shared" si="1"/>
        <v>300</v>
      </c>
      <c r="J14" s="100">
        <f t="shared" si="1"/>
        <v>6</v>
      </c>
      <c r="K14" s="93">
        <f t="shared" si="1"/>
        <v>300</v>
      </c>
      <c r="L14" s="93">
        <f t="shared" si="1"/>
        <v>180</v>
      </c>
      <c r="M14" s="93">
        <f t="shared" si="1"/>
        <v>300</v>
      </c>
      <c r="N14" s="93">
        <f t="shared" ref="N14:V14" si="9">(ROUNDDOWN($D14,0)*N$4)+N55</f>
        <v>100</v>
      </c>
      <c r="O14" s="93">
        <f t="shared" si="9"/>
        <v>250</v>
      </c>
      <c r="P14" s="93">
        <f t="shared" si="9"/>
        <v>250</v>
      </c>
      <c r="Q14" s="93">
        <f t="shared" si="9"/>
        <v>5</v>
      </c>
      <c r="R14" s="93">
        <f t="shared" si="9"/>
        <v>250</v>
      </c>
      <c r="S14" s="93">
        <f t="shared" si="9"/>
        <v>250</v>
      </c>
      <c r="T14" s="93">
        <f t="shared" si="9"/>
        <v>250</v>
      </c>
      <c r="U14" s="93">
        <f t="shared" si="9"/>
        <v>0</v>
      </c>
      <c r="V14" s="93">
        <f t="shared" si="9"/>
        <v>0</v>
      </c>
      <c r="W14" s="81">
        <v>0</v>
      </c>
    </row>
    <row r="15" spans="1:23" ht="13.5" customHeight="1">
      <c r="A15" s="97"/>
      <c r="C15" s="98" t="s">
        <v>136</v>
      </c>
      <c r="D15" s="93">
        <f>'PCT continu'!R14</f>
        <v>4.9000000000000004</v>
      </c>
      <c r="E15" s="87">
        <f>'PCT continu'!B14</f>
        <v>10</v>
      </c>
      <c r="F15" s="93">
        <f t="shared" si="1"/>
        <v>500</v>
      </c>
      <c r="G15" s="93">
        <f t="shared" si="1"/>
        <v>5</v>
      </c>
      <c r="H15" s="93">
        <f t="shared" si="1"/>
        <v>25</v>
      </c>
      <c r="I15" s="93">
        <f t="shared" si="1"/>
        <v>250</v>
      </c>
      <c r="J15" s="100">
        <f t="shared" si="1"/>
        <v>5</v>
      </c>
      <c r="K15" s="93">
        <f t="shared" si="1"/>
        <v>250</v>
      </c>
      <c r="L15" s="93">
        <f t="shared" si="1"/>
        <v>150</v>
      </c>
      <c r="M15" s="93">
        <f t="shared" si="1"/>
        <v>250</v>
      </c>
      <c r="N15" s="93">
        <f t="shared" ref="N15:V15" si="10">(ROUNDDOWN($D15,0)*N$4)+N56</f>
        <v>80</v>
      </c>
      <c r="O15" s="93">
        <f t="shared" si="10"/>
        <v>200</v>
      </c>
      <c r="P15" s="93">
        <f t="shared" si="10"/>
        <v>200</v>
      </c>
      <c r="Q15" s="93">
        <f t="shared" si="10"/>
        <v>5</v>
      </c>
      <c r="R15" s="93">
        <f t="shared" si="10"/>
        <v>200</v>
      </c>
      <c r="S15" s="93">
        <f t="shared" si="10"/>
        <v>250</v>
      </c>
      <c r="T15" s="93">
        <f t="shared" si="10"/>
        <v>200</v>
      </c>
      <c r="U15" s="93">
        <f t="shared" si="10"/>
        <v>0</v>
      </c>
      <c r="V15" s="93">
        <f t="shared" si="10"/>
        <v>0</v>
      </c>
      <c r="W15" s="81">
        <v>1</v>
      </c>
    </row>
    <row r="16" spans="1:23" ht="13.5" customHeight="1" thickBot="1">
      <c r="A16" s="97"/>
      <c r="C16" s="107" t="s">
        <v>137</v>
      </c>
      <c r="D16" s="108">
        <f>'PCT continu'!R15</f>
        <v>2.8</v>
      </c>
      <c r="E16" s="109">
        <f>'PCT continu'!B15</f>
        <v>11</v>
      </c>
      <c r="F16" s="110">
        <f t="shared" ref="F16:M25" si="11">(ROUNDUP($D16,0)*F$4)+F57</f>
        <v>300</v>
      </c>
      <c r="G16" s="110">
        <f t="shared" si="11"/>
        <v>3</v>
      </c>
      <c r="H16" s="110">
        <f t="shared" si="11"/>
        <v>15</v>
      </c>
      <c r="I16" s="110">
        <f t="shared" si="11"/>
        <v>150</v>
      </c>
      <c r="J16" s="111">
        <f t="shared" si="11"/>
        <v>3</v>
      </c>
      <c r="K16" s="110">
        <f t="shared" si="11"/>
        <v>150</v>
      </c>
      <c r="L16" s="110">
        <f t="shared" si="11"/>
        <v>90</v>
      </c>
      <c r="M16" s="110">
        <f t="shared" si="11"/>
        <v>150</v>
      </c>
      <c r="N16" s="103">
        <f t="shared" ref="N16:V16" si="12">(ROUNDDOWN($D16,0)*N$4)+N57</f>
        <v>40</v>
      </c>
      <c r="O16" s="103">
        <f t="shared" si="12"/>
        <v>100</v>
      </c>
      <c r="P16" s="103">
        <f t="shared" si="12"/>
        <v>100</v>
      </c>
      <c r="Q16" s="103">
        <f t="shared" si="12"/>
        <v>2</v>
      </c>
      <c r="R16" s="103">
        <f t="shared" si="12"/>
        <v>100</v>
      </c>
      <c r="S16" s="103">
        <f t="shared" si="12"/>
        <v>100</v>
      </c>
      <c r="T16" s="103">
        <f t="shared" si="12"/>
        <v>100</v>
      </c>
      <c r="U16" s="103">
        <f t="shared" si="12"/>
        <v>0</v>
      </c>
      <c r="V16" s="103">
        <f t="shared" si="12"/>
        <v>0</v>
      </c>
      <c r="W16" s="81">
        <v>0</v>
      </c>
    </row>
    <row r="17" spans="1:23" ht="13.5" customHeight="1">
      <c r="A17" s="97"/>
      <c r="C17" s="112" t="s">
        <v>108</v>
      </c>
      <c r="D17" s="113">
        <f>'PCT continu'!R16</f>
        <v>4.5</v>
      </c>
      <c r="E17" s="114">
        <f>'PCT continu'!B16</f>
        <v>12</v>
      </c>
      <c r="F17" s="115">
        <f t="shared" si="11"/>
        <v>500</v>
      </c>
      <c r="G17" s="115">
        <f t="shared" si="11"/>
        <v>5</v>
      </c>
      <c r="H17" s="115">
        <f t="shared" si="11"/>
        <v>25</v>
      </c>
      <c r="I17" s="115">
        <f t="shared" si="11"/>
        <v>250</v>
      </c>
      <c r="J17" s="116">
        <f t="shared" si="11"/>
        <v>5</v>
      </c>
      <c r="K17" s="115">
        <f t="shared" si="11"/>
        <v>250</v>
      </c>
      <c r="L17" s="115">
        <f t="shared" si="11"/>
        <v>150</v>
      </c>
      <c r="M17" s="115">
        <f t="shared" si="11"/>
        <v>250</v>
      </c>
      <c r="N17" s="103">
        <f t="shared" ref="N17:V17" si="13">(ROUNDDOWN($D17,0)*N$4)+N58</f>
        <v>80</v>
      </c>
      <c r="O17" s="103">
        <f t="shared" si="13"/>
        <v>200</v>
      </c>
      <c r="P17" s="103">
        <f t="shared" si="13"/>
        <v>200</v>
      </c>
      <c r="Q17" s="103">
        <f t="shared" si="13"/>
        <v>6</v>
      </c>
      <c r="R17" s="103">
        <f t="shared" si="13"/>
        <v>200</v>
      </c>
      <c r="S17" s="103">
        <f t="shared" si="13"/>
        <v>300</v>
      </c>
      <c r="T17" s="103">
        <f t="shared" si="13"/>
        <v>200</v>
      </c>
      <c r="U17" s="103">
        <f t="shared" si="13"/>
        <v>0</v>
      </c>
      <c r="V17" s="103">
        <f t="shared" si="13"/>
        <v>0</v>
      </c>
      <c r="W17" s="81">
        <v>1</v>
      </c>
    </row>
    <row r="18" spans="1:23" ht="13.5" customHeight="1">
      <c r="A18" s="97"/>
      <c r="C18" s="98" t="s">
        <v>109</v>
      </c>
      <c r="D18" s="99">
        <f>'PCT continu'!R17</f>
        <v>4.7</v>
      </c>
      <c r="E18" s="117">
        <f>'PCT continu'!B17</f>
        <v>13</v>
      </c>
      <c r="F18" s="103">
        <f t="shared" si="11"/>
        <v>500</v>
      </c>
      <c r="G18" s="103">
        <f t="shared" si="11"/>
        <v>5</v>
      </c>
      <c r="H18" s="103">
        <f t="shared" si="11"/>
        <v>25</v>
      </c>
      <c r="I18" s="103">
        <f t="shared" si="11"/>
        <v>250</v>
      </c>
      <c r="J18" s="104">
        <f t="shared" si="11"/>
        <v>5</v>
      </c>
      <c r="K18" s="103">
        <f t="shared" si="11"/>
        <v>250</v>
      </c>
      <c r="L18" s="103">
        <f t="shared" si="11"/>
        <v>150</v>
      </c>
      <c r="M18" s="103">
        <f t="shared" si="11"/>
        <v>250</v>
      </c>
      <c r="N18" s="103">
        <f t="shared" ref="N18:V18" si="14">(ROUNDDOWN($D18,0)*N$4)+N59</f>
        <v>80</v>
      </c>
      <c r="O18" s="103">
        <f t="shared" si="14"/>
        <v>200</v>
      </c>
      <c r="P18" s="103">
        <f t="shared" si="14"/>
        <v>200</v>
      </c>
      <c r="Q18" s="103">
        <f t="shared" si="14"/>
        <v>4</v>
      </c>
      <c r="R18" s="103">
        <f t="shared" si="14"/>
        <v>200</v>
      </c>
      <c r="S18" s="103">
        <f t="shared" si="14"/>
        <v>200</v>
      </c>
      <c r="T18" s="103">
        <f t="shared" si="14"/>
        <v>200</v>
      </c>
      <c r="U18" s="103">
        <f t="shared" si="14"/>
        <v>0</v>
      </c>
      <c r="V18" s="103">
        <f t="shared" si="14"/>
        <v>0</v>
      </c>
      <c r="W18" s="81">
        <v>1</v>
      </c>
    </row>
    <row r="19" spans="1:23" ht="13.5" customHeight="1">
      <c r="A19" s="97"/>
      <c r="C19" s="105" t="s">
        <v>110</v>
      </c>
      <c r="D19" s="93">
        <f>'PCT continu'!R18</f>
        <v>8.3000000000000007</v>
      </c>
      <c r="E19" s="102">
        <f>'PCT continu'!B18</f>
        <v>14</v>
      </c>
      <c r="F19" s="103">
        <f t="shared" si="11"/>
        <v>900</v>
      </c>
      <c r="G19" s="103">
        <f t="shared" si="11"/>
        <v>9</v>
      </c>
      <c r="H19" s="103">
        <f t="shared" si="11"/>
        <v>45</v>
      </c>
      <c r="I19" s="103">
        <f t="shared" si="11"/>
        <v>450</v>
      </c>
      <c r="J19" s="104">
        <f t="shared" si="11"/>
        <v>9</v>
      </c>
      <c r="K19" s="103">
        <f t="shared" si="11"/>
        <v>450</v>
      </c>
      <c r="L19" s="103">
        <f t="shared" si="11"/>
        <v>270</v>
      </c>
      <c r="M19" s="103">
        <f t="shared" si="11"/>
        <v>450</v>
      </c>
      <c r="N19" s="103">
        <f t="shared" ref="N19:V19" si="15">(ROUNDDOWN($D19,0)*N$4)+N60</f>
        <v>160</v>
      </c>
      <c r="O19" s="103">
        <f t="shared" si="15"/>
        <v>400</v>
      </c>
      <c r="P19" s="103">
        <f t="shared" si="15"/>
        <v>400</v>
      </c>
      <c r="Q19" s="103">
        <f t="shared" si="15"/>
        <v>9</v>
      </c>
      <c r="R19" s="103">
        <f t="shared" si="15"/>
        <v>400</v>
      </c>
      <c r="S19" s="103">
        <f t="shared" si="15"/>
        <v>400</v>
      </c>
      <c r="T19" s="103">
        <f t="shared" si="15"/>
        <v>400</v>
      </c>
      <c r="U19" s="103">
        <f t="shared" si="15"/>
        <v>0</v>
      </c>
      <c r="V19" s="103">
        <f t="shared" si="15"/>
        <v>0</v>
      </c>
      <c r="W19" s="81">
        <v>0</v>
      </c>
    </row>
    <row r="20" spans="1:23" ht="13.5" customHeight="1">
      <c r="A20" s="97"/>
      <c r="C20" s="105" t="s">
        <v>111</v>
      </c>
      <c r="D20" s="93">
        <f>'PCT continu'!R19</f>
        <v>5.4</v>
      </c>
      <c r="E20" s="102">
        <f>'PCT continu'!B19</f>
        <v>15</v>
      </c>
      <c r="F20" s="103">
        <f t="shared" si="11"/>
        <v>600</v>
      </c>
      <c r="G20" s="103">
        <f t="shared" si="11"/>
        <v>6</v>
      </c>
      <c r="H20" s="103">
        <f t="shared" si="11"/>
        <v>30</v>
      </c>
      <c r="I20" s="103">
        <f t="shared" si="11"/>
        <v>300</v>
      </c>
      <c r="J20" s="104">
        <f t="shared" si="11"/>
        <v>6</v>
      </c>
      <c r="K20" s="103">
        <f t="shared" si="11"/>
        <v>300</v>
      </c>
      <c r="L20" s="103">
        <f t="shared" si="11"/>
        <v>180</v>
      </c>
      <c r="M20" s="103">
        <f t="shared" si="11"/>
        <v>300</v>
      </c>
      <c r="N20" s="103">
        <f t="shared" ref="N20:V20" si="16">(ROUNDDOWN($D20,0)*N$4)+N61</f>
        <v>100</v>
      </c>
      <c r="O20" s="103">
        <f t="shared" si="16"/>
        <v>250</v>
      </c>
      <c r="P20" s="103">
        <f t="shared" si="16"/>
        <v>250</v>
      </c>
      <c r="Q20" s="103">
        <f t="shared" si="16"/>
        <v>6</v>
      </c>
      <c r="R20" s="103">
        <f t="shared" si="16"/>
        <v>250</v>
      </c>
      <c r="S20" s="103">
        <f t="shared" si="16"/>
        <v>300</v>
      </c>
      <c r="T20" s="103">
        <f t="shared" si="16"/>
        <v>250</v>
      </c>
      <c r="U20" s="103">
        <f t="shared" si="16"/>
        <v>0</v>
      </c>
      <c r="V20" s="103">
        <f t="shared" si="16"/>
        <v>0</v>
      </c>
      <c r="W20" s="81">
        <v>1</v>
      </c>
    </row>
    <row r="21" spans="1:23" ht="13.5" customHeight="1">
      <c r="A21" s="97"/>
      <c r="C21" s="105" t="s">
        <v>112</v>
      </c>
      <c r="D21" s="93">
        <f>'PCT continu'!R20</f>
        <v>6.2</v>
      </c>
      <c r="E21" s="102">
        <f>'PCT continu'!B20</f>
        <v>16</v>
      </c>
      <c r="F21" s="103">
        <f t="shared" si="11"/>
        <v>700</v>
      </c>
      <c r="G21" s="103">
        <f t="shared" si="11"/>
        <v>7</v>
      </c>
      <c r="H21" s="103">
        <f t="shared" si="11"/>
        <v>35</v>
      </c>
      <c r="I21" s="103">
        <f t="shared" si="11"/>
        <v>350</v>
      </c>
      <c r="J21" s="104">
        <f t="shared" si="11"/>
        <v>7</v>
      </c>
      <c r="K21" s="103">
        <f t="shared" si="11"/>
        <v>350</v>
      </c>
      <c r="L21" s="103">
        <f t="shared" si="11"/>
        <v>210</v>
      </c>
      <c r="M21" s="103">
        <f t="shared" si="11"/>
        <v>350</v>
      </c>
      <c r="N21" s="103">
        <f t="shared" ref="N21:V21" si="17">(ROUNDDOWN($D21,0)*N$4)+N62</f>
        <v>120</v>
      </c>
      <c r="O21" s="103">
        <f t="shared" si="17"/>
        <v>300</v>
      </c>
      <c r="P21" s="103">
        <f t="shared" si="17"/>
        <v>300</v>
      </c>
      <c r="Q21" s="103">
        <f t="shared" si="17"/>
        <v>7</v>
      </c>
      <c r="R21" s="103">
        <f t="shared" si="17"/>
        <v>300</v>
      </c>
      <c r="S21" s="103">
        <f t="shared" si="17"/>
        <v>350</v>
      </c>
      <c r="T21" s="103">
        <f t="shared" si="17"/>
        <v>300</v>
      </c>
      <c r="U21" s="103">
        <f t="shared" si="17"/>
        <v>0</v>
      </c>
      <c r="V21" s="103">
        <f t="shared" si="17"/>
        <v>0</v>
      </c>
      <c r="W21" s="81">
        <v>1</v>
      </c>
    </row>
    <row r="22" spans="1:23" ht="13.5" customHeight="1">
      <c r="C22" s="105" t="s">
        <v>100</v>
      </c>
      <c r="D22" s="93">
        <f>'PCT continu'!R21</f>
        <v>5.7</v>
      </c>
      <c r="E22" s="102">
        <f>'PCT continu'!B21</f>
        <v>17</v>
      </c>
      <c r="F22" s="103">
        <f t="shared" si="11"/>
        <v>600</v>
      </c>
      <c r="G22" s="103">
        <f t="shared" si="11"/>
        <v>6</v>
      </c>
      <c r="H22" s="103">
        <f t="shared" si="11"/>
        <v>30</v>
      </c>
      <c r="I22" s="103">
        <f t="shared" si="11"/>
        <v>300</v>
      </c>
      <c r="J22" s="104">
        <f t="shared" si="11"/>
        <v>6</v>
      </c>
      <c r="K22" s="103">
        <f t="shared" si="11"/>
        <v>300</v>
      </c>
      <c r="L22" s="103">
        <f t="shared" si="11"/>
        <v>180</v>
      </c>
      <c r="M22" s="103">
        <f t="shared" si="11"/>
        <v>300</v>
      </c>
      <c r="N22" s="103">
        <f t="shared" ref="N22:V22" si="18">(ROUNDDOWN($D22,0)*N$4)+N63</f>
        <v>100</v>
      </c>
      <c r="O22" s="103">
        <f t="shared" si="18"/>
        <v>250</v>
      </c>
      <c r="P22" s="103">
        <f t="shared" si="18"/>
        <v>250</v>
      </c>
      <c r="Q22" s="103">
        <f t="shared" si="18"/>
        <v>5</v>
      </c>
      <c r="R22" s="103">
        <f t="shared" si="18"/>
        <v>250</v>
      </c>
      <c r="S22" s="103">
        <f t="shared" si="18"/>
        <v>250</v>
      </c>
      <c r="T22" s="103">
        <f t="shared" si="18"/>
        <v>250</v>
      </c>
      <c r="U22" s="103">
        <f t="shared" si="18"/>
        <v>0</v>
      </c>
      <c r="V22" s="103">
        <f t="shared" si="18"/>
        <v>0</v>
      </c>
      <c r="W22" s="81">
        <v>0</v>
      </c>
    </row>
    <row r="23" spans="1:23" ht="13.5" customHeight="1">
      <c r="C23" s="98" t="s">
        <v>8</v>
      </c>
      <c r="D23" s="93">
        <f>'PCT continu'!R22</f>
        <v>5.0999999999999996</v>
      </c>
      <c r="E23" s="87">
        <f>'PCT continu'!B22</f>
        <v>18</v>
      </c>
      <c r="F23" s="93">
        <f t="shared" si="11"/>
        <v>600</v>
      </c>
      <c r="G23" s="93">
        <f t="shared" si="11"/>
        <v>6</v>
      </c>
      <c r="H23" s="93">
        <f t="shared" si="11"/>
        <v>30</v>
      </c>
      <c r="I23" s="93">
        <f t="shared" si="11"/>
        <v>300</v>
      </c>
      <c r="J23" s="100">
        <f t="shared" si="11"/>
        <v>6</v>
      </c>
      <c r="K23" s="93">
        <f t="shared" si="11"/>
        <v>300</v>
      </c>
      <c r="L23" s="93">
        <f t="shared" si="11"/>
        <v>180</v>
      </c>
      <c r="M23" s="93">
        <f t="shared" si="11"/>
        <v>300</v>
      </c>
      <c r="N23" s="93">
        <f t="shared" ref="N23:V23" si="19">(ROUNDDOWN($D23,0)*N$4)+N64</f>
        <v>100</v>
      </c>
      <c r="O23" s="93">
        <f t="shared" si="19"/>
        <v>250</v>
      </c>
      <c r="P23" s="93">
        <f t="shared" si="19"/>
        <v>250</v>
      </c>
      <c r="Q23" s="93">
        <f t="shared" si="19"/>
        <v>5</v>
      </c>
      <c r="R23" s="93">
        <f t="shared" si="19"/>
        <v>250</v>
      </c>
      <c r="S23" s="93">
        <f t="shared" si="19"/>
        <v>250</v>
      </c>
      <c r="T23" s="93">
        <f t="shared" si="19"/>
        <v>250</v>
      </c>
      <c r="U23" s="93">
        <f t="shared" si="19"/>
        <v>0</v>
      </c>
      <c r="V23" s="93">
        <f t="shared" si="19"/>
        <v>0</v>
      </c>
      <c r="W23" s="81">
        <v>0</v>
      </c>
    </row>
    <row r="24" spans="1:23" ht="13.5" customHeight="1">
      <c r="C24" s="101" t="s">
        <v>9</v>
      </c>
      <c r="D24" s="93">
        <f>'PCT continu'!R23</f>
        <v>3.6</v>
      </c>
      <c r="E24" s="102">
        <f>'PCT continu'!B23</f>
        <v>19</v>
      </c>
      <c r="F24" s="103">
        <f t="shared" si="11"/>
        <v>400</v>
      </c>
      <c r="G24" s="103">
        <f t="shared" si="11"/>
        <v>4</v>
      </c>
      <c r="H24" s="103">
        <f t="shared" si="11"/>
        <v>20</v>
      </c>
      <c r="I24" s="103">
        <f t="shared" si="11"/>
        <v>200</v>
      </c>
      <c r="J24" s="104">
        <f t="shared" si="11"/>
        <v>4</v>
      </c>
      <c r="K24" s="103">
        <f t="shared" si="11"/>
        <v>200</v>
      </c>
      <c r="L24" s="103">
        <f t="shared" si="11"/>
        <v>120</v>
      </c>
      <c r="M24" s="103">
        <f t="shared" si="11"/>
        <v>200</v>
      </c>
      <c r="N24" s="103">
        <f t="shared" ref="N24:V24" si="20">(ROUNDDOWN($D24,0)*N$4)+N65</f>
        <v>60</v>
      </c>
      <c r="O24" s="103">
        <f t="shared" si="20"/>
        <v>150</v>
      </c>
      <c r="P24" s="103">
        <f t="shared" si="20"/>
        <v>150</v>
      </c>
      <c r="Q24" s="103">
        <f t="shared" si="20"/>
        <v>3</v>
      </c>
      <c r="R24" s="103">
        <f t="shared" si="20"/>
        <v>150</v>
      </c>
      <c r="S24" s="103">
        <f t="shared" si="20"/>
        <v>150</v>
      </c>
      <c r="T24" s="103">
        <f t="shared" si="20"/>
        <v>150</v>
      </c>
      <c r="U24" s="103">
        <f t="shared" si="20"/>
        <v>0</v>
      </c>
      <c r="V24" s="103">
        <f t="shared" si="20"/>
        <v>0</v>
      </c>
      <c r="W24" s="81">
        <v>0</v>
      </c>
    </row>
    <row r="25" spans="1:23" ht="13.5" customHeight="1">
      <c r="C25" s="101" t="s">
        <v>75</v>
      </c>
      <c r="D25" s="93">
        <f>'PCT continu'!R24</f>
        <v>4.5</v>
      </c>
      <c r="E25" s="87">
        <f>'PCT continu'!B24</f>
        <v>20</v>
      </c>
      <c r="F25" s="93">
        <f t="shared" si="11"/>
        <v>600</v>
      </c>
      <c r="G25" s="93">
        <f t="shared" si="11"/>
        <v>6</v>
      </c>
      <c r="H25" s="93">
        <f t="shared" si="11"/>
        <v>30</v>
      </c>
      <c r="I25" s="93">
        <f t="shared" si="11"/>
        <v>300</v>
      </c>
      <c r="J25" s="100">
        <f t="shared" si="11"/>
        <v>6</v>
      </c>
      <c r="K25" s="93">
        <f t="shared" si="11"/>
        <v>300</v>
      </c>
      <c r="L25" s="93">
        <f t="shared" si="11"/>
        <v>180</v>
      </c>
      <c r="M25" s="93">
        <f t="shared" si="11"/>
        <v>300</v>
      </c>
      <c r="N25" s="93">
        <f t="shared" ref="N25:V25" si="21">(ROUNDDOWN($D25,0)*N$4)+N66</f>
        <v>100</v>
      </c>
      <c r="O25" s="93">
        <f t="shared" si="21"/>
        <v>300</v>
      </c>
      <c r="P25" s="93">
        <f t="shared" si="21"/>
        <v>250</v>
      </c>
      <c r="Q25" s="93">
        <f t="shared" si="21"/>
        <v>5</v>
      </c>
      <c r="R25" s="93">
        <f t="shared" si="21"/>
        <v>250</v>
      </c>
      <c r="S25" s="93">
        <f t="shared" si="21"/>
        <v>250</v>
      </c>
      <c r="T25" s="93">
        <f t="shared" si="21"/>
        <v>250</v>
      </c>
      <c r="U25" s="93">
        <f t="shared" si="21"/>
        <v>0</v>
      </c>
      <c r="V25" s="93">
        <f t="shared" si="21"/>
        <v>0</v>
      </c>
      <c r="W25" s="81">
        <v>1</v>
      </c>
    </row>
    <row r="26" spans="1:23" ht="13.5" customHeight="1">
      <c r="C26" s="101" t="s">
        <v>80</v>
      </c>
      <c r="D26" s="93">
        <f>'PCT continu'!R25</f>
        <v>0.9</v>
      </c>
      <c r="E26" s="87">
        <f>'PCT continu'!B25</f>
        <v>21</v>
      </c>
      <c r="F26" s="93">
        <f t="shared" ref="F26:M35" si="22">(ROUNDUP($D26,0)*F$4)+F67</f>
        <v>0</v>
      </c>
      <c r="G26" s="93">
        <f t="shared" si="22"/>
        <v>0</v>
      </c>
      <c r="H26" s="93">
        <f t="shared" si="22"/>
        <v>0</v>
      </c>
      <c r="I26" s="93">
        <f t="shared" si="22"/>
        <v>0</v>
      </c>
      <c r="J26" s="100">
        <f t="shared" si="22"/>
        <v>0</v>
      </c>
      <c r="K26" s="93">
        <f t="shared" si="22"/>
        <v>0</v>
      </c>
      <c r="L26" s="93">
        <f t="shared" si="22"/>
        <v>0</v>
      </c>
      <c r="M26" s="93">
        <f t="shared" si="22"/>
        <v>0</v>
      </c>
      <c r="N26" s="93">
        <f t="shared" ref="N26:V26" si="23">(ROUNDDOWN($D26,0)*N$4)+N67</f>
        <v>0</v>
      </c>
      <c r="O26" s="93">
        <f t="shared" si="23"/>
        <v>0</v>
      </c>
      <c r="P26" s="93">
        <f t="shared" si="23"/>
        <v>0</v>
      </c>
      <c r="Q26" s="93">
        <f t="shared" si="23"/>
        <v>0</v>
      </c>
      <c r="R26" s="93">
        <f t="shared" si="23"/>
        <v>0</v>
      </c>
      <c r="S26" s="93">
        <f t="shared" si="23"/>
        <v>0</v>
      </c>
      <c r="T26" s="93">
        <f t="shared" si="23"/>
        <v>0</v>
      </c>
      <c r="U26" s="93">
        <f t="shared" si="23"/>
        <v>0</v>
      </c>
      <c r="V26" s="93">
        <f t="shared" si="23"/>
        <v>0</v>
      </c>
      <c r="W26" s="81">
        <v>1</v>
      </c>
    </row>
    <row r="27" spans="1:23" ht="13.5" customHeight="1">
      <c r="C27" s="101" t="s">
        <v>81</v>
      </c>
      <c r="D27" s="93">
        <f>'PCT continu'!R26</f>
        <v>1.9</v>
      </c>
      <c r="E27" s="102">
        <f>'PCT continu'!B26</f>
        <v>22</v>
      </c>
      <c r="F27" s="103">
        <f t="shared" si="22"/>
        <v>200</v>
      </c>
      <c r="G27" s="103">
        <f t="shared" si="22"/>
        <v>2</v>
      </c>
      <c r="H27" s="103">
        <f t="shared" si="22"/>
        <v>10</v>
      </c>
      <c r="I27" s="103">
        <f t="shared" si="22"/>
        <v>100</v>
      </c>
      <c r="J27" s="104">
        <f t="shared" si="22"/>
        <v>2</v>
      </c>
      <c r="K27" s="103">
        <f t="shared" si="22"/>
        <v>100</v>
      </c>
      <c r="L27" s="103">
        <f t="shared" si="22"/>
        <v>60</v>
      </c>
      <c r="M27" s="103">
        <f t="shared" si="22"/>
        <v>100</v>
      </c>
      <c r="N27" s="103">
        <f t="shared" ref="N27:V27" si="24">(ROUNDDOWN($D27,0)*N$4)+N68</f>
        <v>20</v>
      </c>
      <c r="O27" s="103">
        <f t="shared" si="24"/>
        <v>50</v>
      </c>
      <c r="P27" s="103">
        <f t="shared" si="24"/>
        <v>50</v>
      </c>
      <c r="Q27" s="103">
        <f t="shared" si="24"/>
        <v>1</v>
      </c>
      <c r="R27" s="103">
        <f t="shared" si="24"/>
        <v>50</v>
      </c>
      <c r="S27" s="103">
        <f t="shared" si="24"/>
        <v>50</v>
      </c>
      <c r="T27" s="103">
        <f t="shared" si="24"/>
        <v>50</v>
      </c>
      <c r="U27" s="103">
        <f t="shared" si="24"/>
        <v>0</v>
      </c>
      <c r="V27" s="103">
        <f t="shared" si="24"/>
        <v>0</v>
      </c>
      <c r="W27" s="81">
        <v>0</v>
      </c>
    </row>
    <row r="28" spans="1:23" ht="13.5" customHeight="1">
      <c r="C28" s="101" t="s">
        <v>84</v>
      </c>
      <c r="D28" s="93">
        <f>'PCT continu'!R27</f>
        <v>3.9</v>
      </c>
      <c r="E28" s="102">
        <f>'PCT continu'!B27</f>
        <v>23</v>
      </c>
      <c r="F28" s="103">
        <f t="shared" si="22"/>
        <v>400</v>
      </c>
      <c r="G28" s="103">
        <f t="shared" si="22"/>
        <v>4</v>
      </c>
      <c r="H28" s="103">
        <f t="shared" si="22"/>
        <v>20</v>
      </c>
      <c r="I28" s="103">
        <f t="shared" si="22"/>
        <v>200</v>
      </c>
      <c r="J28" s="104">
        <f t="shared" si="22"/>
        <v>4</v>
      </c>
      <c r="K28" s="103">
        <f t="shared" si="22"/>
        <v>200</v>
      </c>
      <c r="L28" s="103">
        <f t="shared" si="22"/>
        <v>120</v>
      </c>
      <c r="M28" s="103">
        <f t="shared" si="22"/>
        <v>200</v>
      </c>
      <c r="N28" s="103">
        <f t="shared" ref="N28:V28" si="25">(ROUNDDOWN($D28,0)*N$4)+N69</f>
        <v>60</v>
      </c>
      <c r="O28" s="103">
        <f t="shared" si="25"/>
        <v>150</v>
      </c>
      <c r="P28" s="103">
        <f t="shared" si="25"/>
        <v>150</v>
      </c>
      <c r="Q28" s="103">
        <f t="shared" si="25"/>
        <v>3</v>
      </c>
      <c r="R28" s="103">
        <f t="shared" si="25"/>
        <v>150</v>
      </c>
      <c r="S28" s="103">
        <f t="shared" si="25"/>
        <v>150</v>
      </c>
      <c r="T28" s="103">
        <f t="shared" si="25"/>
        <v>150</v>
      </c>
      <c r="U28" s="103">
        <f t="shared" si="25"/>
        <v>0</v>
      </c>
      <c r="V28" s="103">
        <f t="shared" si="25"/>
        <v>0</v>
      </c>
      <c r="W28" s="81">
        <v>0</v>
      </c>
    </row>
    <row r="29" spans="1:23" ht="13.5" customHeight="1" thickBot="1">
      <c r="C29" s="107" t="s">
        <v>10</v>
      </c>
      <c r="D29" s="118">
        <f>'PCT continu'!R28</f>
        <v>4.8</v>
      </c>
      <c r="E29" s="119">
        <f>'PCT continu'!B28</f>
        <v>24</v>
      </c>
      <c r="F29" s="110">
        <f t="shared" si="22"/>
        <v>500</v>
      </c>
      <c r="G29" s="110">
        <f t="shared" si="22"/>
        <v>5</v>
      </c>
      <c r="H29" s="110">
        <f t="shared" si="22"/>
        <v>25</v>
      </c>
      <c r="I29" s="110">
        <f t="shared" si="22"/>
        <v>250</v>
      </c>
      <c r="J29" s="111">
        <f t="shared" si="22"/>
        <v>5</v>
      </c>
      <c r="K29" s="110">
        <f t="shared" si="22"/>
        <v>250</v>
      </c>
      <c r="L29" s="110">
        <f t="shared" si="22"/>
        <v>150</v>
      </c>
      <c r="M29" s="110">
        <f t="shared" si="22"/>
        <v>250</v>
      </c>
      <c r="N29" s="103">
        <f t="shared" ref="N29:V29" si="26">(ROUNDDOWN($D29,0)*N$4)+N70</f>
        <v>80</v>
      </c>
      <c r="O29" s="103">
        <f t="shared" si="26"/>
        <v>200</v>
      </c>
      <c r="P29" s="103">
        <f t="shared" si="26"/>
        <v>200</v>
      </c>
      <c r="Q29" s="103">
        <f t="shared" si="26"/>
        <v>4</v>
      </c>
      <c r="R29" s="103">
        <f t="shared" si="26"/>
        <v>200</v>
      </c>
      <c r="S29" s="103">
        <f t="shared" si="26"/>
        <v>200</v>
      </c>
      <c r="T29" s="103">
        <f t="shared" si="26"/>
        <v>200</v>
      </c>
      <c r="U29" s="103">
        <f t="shared" si="26"/>
        <v>0</v>
      </c>
      <c r="V29" s="103">
        <f t="shared" si="26"/>
        <v>0</v>
      </c>
      <c r="W29" s="81">
        <v>0</v>
      </c>
    </row>
    <row r="30" spans="1:23" ht="13.5" customHeight="1">
      <c r="C30" s="120" t="s">
        <v>11</v>
      </c>
      <c r="D30" s="113">
        <f>'PCT continu'!R29</f>
        <v>2.6</v>
      </c>
      <c r="E30" s="121">
        <f>'PCT continu'!B29</f>
        <v>25</v>
      </c>
      <c r="F30" s="113">
        <f t="shared" si="22"/>
        <v>300</v>
      </c>
      <c r="G30" s="113">
        <f t="shared" si="22"/>
        <v>3</v>
      </c>
      <c r="H30" s="113">
        <f t="shared" si="22"/>
        <v>15</v>
      </c>
      <c r="I30" s="113">
        <f t="shared" si="22"/>
        <v>150</v>
      </c>
      <c r="J30" s="122">
        <f t="shared" si="22"/>
        <v>3</v>
      </c>
      <c r="K30" s="113">
        <f t="shared" si="22"/>
        <v>150</v>
      </c>
      <c r="L30" s="113">
        <f t="shared" si="22"/>
        <v>90</v>
      </c>
      <c r="M30" s="113">
        <f t="shared" si="22"/>
        <v>150</v>
      </c>
      <c r="N30" s="93">
        <f t="shared" ref="N30:V30" si="27">(ROUNDDOWN($D30,0)*N$4)+N71</f>
        <v>40</v>
      </c>
      <c r="O30" s="93">
        <f t="shared" si="27"/>
        <v>100</v>
      </c>
      <c r="P30" s="93">
        <f t="shared" si="27"/>
        <v>100</v>
      </c>
      <c r="Q30" s="93">
        <f t="shared" si="27"/>
        <v>2</v>
      </c>
      <c r="R30" s="93">
        <f t="shared" si="27"/>
        <v>100</v>
      </c>
      <c r="S30" s="93">
        <f t="shared" si="27"/>
        <v>100</v>
      </c>
      <c r="T30" s="93">
        <f t="shared" si="27"/>
        <v>100</v>
      </c>
      <c r="U30" s="93">
        <f t="shared" si="27"/>
        <v>0</v>
      </c>
      <c r="V30" s="93">
        <f t="shared" si="27"/>
        <v>0</v>
      </c>
      <c r="W30" s="81">
        <v>0</v>
      </c>
    </row>
    <row r="31" spans="1:23" ht="13.5" customHeight="1">
      <c r="C31" s="105" t="s">
        <v>12</v>
      </c>
      <c r="D31" s="93">
        <f>'PCT continu'!R30</f>
        <v>3.3</v>
      </c>
      <c r="E31" s="102">
        <f>'PCT continu'!B30</f>
        <v>26</v>
      </c>
      <c r="F31" s="103">
        <f t="shared" si="22"/>
        <v>400</v>
      </c>
      <c r="G31" s="103">
        <f t="shared" si="22"/>
        <v>4</v>
      </c>
      <c r="H31" s="103">
        <f t="shared" si="22"/>
        <v>20</v>
      </c>
      <c r="I31" s="103">
        <f t="shared" si="22"/>
        <v>200</v>
      </c>
      <c r="J31" s="104">
        <f t="shared" si="22"/>
        <v>4</v>
      </c>
      <c r="K31" s="103">
        <f t="shared" si="22"/>
        <v>200</v>
      </c>
      <c r="L31" s="103">
        <f t="shared" si="22"/>
        <v>120</v>
      </c>
      <c r="M31" s="103">
        <f t="shared" si="22"/>
        <v>200</v>
      </c>
      <c r="N31" s="103">
        <f t="shared" ref="N31:V31" si="28">(ROUNDDOWN($D31,0)*N$4)+N72</f>
        <v>60</v>
      </c>
      <c r="O31" s="103">
        <f t="shared" si="28"/>
        <v>150</v>
      </c>
      <c r="P31" s="103">
        <f t="shared" si="28"/>
        <v>150</v>
      </c>
      <c r="Q31" s="103">
        <f t="shared" si="28"/>
        <v>3</v>
      </c>
      <c r="R31" s="103">
        <f t="shared" si="28"/>
        <v>150</v>
      </c>
      <c r="S31" s="103">
        <f t="shared" si="28"/>
        <v>150</v>
      </c>
      <c r="T31" s="103">
        <f t="shared" si="28"/>
        <v>150</v>
      </c>
      <c r="U31" s="103">
        <f t="shared" si="28"/>
        <v>0</v>
      </c>
      <c r="V31" s="103">
        <f t="shared" si="28"/>
        <v>0</v>
      </c>
      <c r="W31" s="81">
        <v>0</v>
      </c>
    </row>
    <row r="32" spans="1:23" ht="13.5" customHeight="1">
      <c r="C32" s="98" t="s">
        <v>13</v>
      </c>
      <c r="D32" s="93">
        <f>'PCT continu'!R31</f>
        <v>5.2</v>
      </c>
      <c r="E32" s="87">
        <f>'PCT continu'!B31</f>
        <v>27</v>
      </c>
      <c r="F32" s="93">
        <f t="shared" si="22"/>
        <v>600</v>
      </c>
      <c r="G32" s="93">
        <f t="shared" si="22"/>
        <v>6</v>
      </c>
      <c r="H32" s="93">
        <f t="shared" si="22"/>
        <v>30</v>
      </c>
      <c r="I32" s="93">
        <f t="shared" si="22"/>
        <v>300</v>
      </c>
      <c r="J32" s="100">
        <f t="shared" si="22"/>
        <v>6</v>
      </c>
      <c r="K32" s="93">
        <f t="shared" si="22"/>
        <v>300</v>
      </c>
      <c r="L32" s="93">
        <f t="shared" si="22"/>
        <v>180</v>
      </c>
      <c r="M32" s="93">
        <f t="shared" si="22"/>
        <v>300</v>
      </c>
      <c r="N32" s="93">
        <f t="shared" ref="N32:V32" si="29">(ROUNDDOWN($D32,0)*N$4)+N73</f>
        <v>100</v>
      </c>
      <c r="O32" s="93">
        <f t="shared" si="29"/>
        <v>250</v>
      </c>
      <c r="P32" s="93">
        <f t="shared" si="29"/>
        <v>250</v>
      </c>
      <c r="Q32" s="93">
        <f t="shared" si="29"/>
        <v>5</v>
      </c>
      <c r="R32" s="93">
        <f t="shared" si="29"/>
        <v>250</v>
      </c>
      <c r="S32" s="93">
        <f t="shared" si="29"/>
        <v>250</v>
      </c>
      <c r="T32" s="93">
        <f t="shared" si="29"/>
        <v>250</v>
      </c>
      <c r="U32" s="93">
        <f t="shared" si="29"/>
        <v>0</v>
      </c>
      <c r="V32" s="93">
        <f t="shared" si="29"/>
        <v>0</v>
      </c>
      <c r="W32" s="81">
        <v>0</v>
      </c>
    </row>
    <row r="33" spans="3:23" ht="13.5" customHeight="1" thickBot="1">
      <c r="C33" s="107" t="s">
        <v>264</v>
      </c>
      <c r="D33" s="108">
        <f>'PCT continu'!R32</f>
        <v>3.9</v>
      </c>
      <c r="E33" s="109">
        <f>'PCT continu'!B32</f>
        <v>28</v>
      </c>
      <c r="F33" s="110">
        <f t="shared" si="22"/>
        <v>400</v>
      </c>
      <c r="G33" s="110">
        <f t="shared" si="22"/>
        <v>4</v>
      </c>
      <c r="H33" s="110">
        <f t="shared" si="22"/>
        <v>20</v>
      </c>
      <c r="I33" s="110">
        <f t="shared" si="22"/>
        <v>200</v>
      </c>
      <c r="J33" s="111">
        <f t="shared" si="22"/>
        <v>4</v>
      </c>
      <c r="K33" s="110">
        <f t="shared" si="22"/>
        <v>200</v>
      </c>
      <c r="L33" s="110">
        <f t="shared" si="22"/>
        <v>120</v>
      </c>
      <c r="M33" s="110">
        <f t="shared" si="22"/>
        <v>200</v>
      </c>
      <c r="N33" s="103">
        <f t="shared" ref="N33:V33" si="30">(ROUNDDOWN($D33,0)*N$4)+N74</f>
        <v>60</v>
      </c>
      <c r="O33" s="103">
        <f t="shared" si="30"/>
        <v>150</v>
      </c>
      <c r="P33" s="103">
        <f t="shared" si="30"/>
        <v>150</v>
      </c>
      <c r="Q33" s="103">
        <f t="shared" si="30"/>
        <v>3</v>
      </c>
      <c r="R33" s="103">
        <f t="shared" si="30"/>
        <v>150</v>
      </c>
      <c r="S33" s="103">
        <f t="shared" si="30"/>
        <v>150</v>
      </c>
      <c r="T33" s="103">
        <f t="shared" si="30"/>
        <v>150</v>
      </c>
      <c r="U33" s="103">
        <f t="shared" si="30"/>
        <v>0</v>
      </c>
      <c r="V33" s="103">
        <f t="shared" si="30"/>
        <v>0</v>
      </c>
      <c r="W33" s="81">
        <v>0</v>
      </c>
    </row>
    <row r="34" spans="3:23" ht="13.5" customHeight="1">
      <c r="C34" s="120" t="s">
        <v>15</v>
      </c>
      <c r="D34" s="113">
        <f>'PCT continu'!R33</f>
        <v>3.6</v>
      </c>
      <c r="E34" s="114">
        <f>'PCT continu'!B33</f>
        <v>29</v>
      </c>
      <c r="F34" s="115">
        <f t="shared" si="22"/>
        <v>400</v>
      </c>
      <c r="G34" s="115">
        <f t="shared" si="22"/>
        <v>4</v>
      </c>
      <c r="H34" s="115">
        <f t="shared" si="22"/>
        <v>20</v>
      </c>
      <c r="I34" s="115">
        <f t="shared" si="22"/>
        <v>200</v>
      </c>
      <c r="J34" s="116">
        <f t="shared" si="22"/>
        <v>4</v>
      </c>
      <c r="K34" s="115">
        <f t="shared" si="22"/>
        <v>200</v>
      </c>
      <c r="L34" s="115">
        <f t="shared" si="22"/>
        <v>120</v>
      </c>
      <c r="M34" s="115">
        <f t="shared" si="22"/>
        <v>200</v>
      </c>
      <c r="N34" s="103">
        <f t="shared" ref="N34:V34" si="31">(ROUNDDOWN($D34,0)*N$4)+N75</f>
        <v>60</v>
      </c>
      <c r="O34" s="103">
        <f t="shared" si="31"/>
        <v>150</v>
      </c>
      <c r="P34" s="103">
        <f t="shared" si="31"/>
        <v>150</v>
      </c>
      <c r="Q34" s="103">
        <f t="shared" si="31"/>
        <v>3</v>
      </c>
      <c r="R34" s="103">
        <f t="shared" si="31"/>
        <v>150</v>
      </c>
      <c r="S34" s="103">
        <f t="shared" si="31"/>
        <v>150</v>
      </c>
      <c r="T34" s="103">
        <f t="shared" si="31"/>
        <v>150</v>
      </c>
      <c r="U34" s="103">
        <f t="shared" si="31"/>
        <v>0</v>
      </c>
      <c r="V34" s="103">
        <f t="shared" si="31"/>
        <v>0</v>
      </c>
      <c r="W34" s="81">
        <v>0</v>
      </c>
    </row>
    <row r="35" spans="3:23" ht="13.5" customHeight="1">
      <c r="C35" s="101" t="s">
        <v>16</v>
      </c>
      <c r="D35" s="93">
        <f>'PCT continu'!R34</f>
        <v>6</v>
      </c>
      <c r="E35" s="102">
        <f>'PCT continu'!B34</f>
        <v>30</v>
      </c>
      <c r="F35" s="103">
        <f t="shared" si="22"/>
        <v>600</v>
      </c>
      <c r="G35" s="103">
        <f t="shared" si="22"/>
        <v>6</v>
      </c>
      <c r="H35" s="103">
        <f t="shared" si="22"/>
        <v>30</v>
      </c>
      <c r="I35" s="103">
        <f t="shared" si="22"/>
        <v>300</v>
      </c>
      <c r="J35" s="104">
        <f t="shared" si="22"/>
        <v>6</v>
      </c>
      <c r="K35" s="103">
        <f t="shared" si="22"/>
        <v>300</v>
      </c>
      <c r="L35" s="103">
        <f t="shared" si="22"/>
        <v>180</v>
      </c>
      <c r="M35" s="103">
        <f t="shared" si="22"/>
        <v>300</v>
      </c>
      <c r="N35" s="103">
        <f t="shared" ref="N35:V35" si="32">(ROUNDDOWN($D35,0)*N$4)+N76</f>
        <v>120</v>
      </c>
      <c r="O35" s="103">
        <f t="shared" si="32"/>
        <v>300</v>
      </c>
      <c r="P35" s="103">
        <f t="shared" si="32"/>
        <v>300</v>
      </c>
      <c r="Q35" s="103">
        <f t="shared" si="32"/>
        <v>6</v>
      </c>
      <c r="R35" s="103">
        <f t="shared" si="32"/>
        <v>300</v>
      </c>
      <c r="S35" s="103">
        <f t="shared" si="32"/>
        <v>300</v>
      </c>
      <c r="T35" s="103">
        <f t="shared" si="32"/>
        <v>300</v>
      </c>
      <c r="U35" s="103">
        <f t="shared" si="32"/>
        <v>0</v>
      </c>
      <c r="V35" s="103">
        <f t="shared" si="32"/>
        <v>0</v>
      </c>
      <c r="W35" s="81">
        <v>0</v>
      </c>
    </row>
    <row r="36" spans="3:23" ht="13.5" customHeight="1">
      <c r="C36" s="101" t="s">
        <v>17</v>
      </c>
      <c r="D36" s="93">
        <f>'PCT continu'!R35</f>
        <v>2.2000000000000002</v>
      </c>
      <c r="E36" s="102">
        <f>'PCT continu'!B35</f>
        <v>31</v>
      </c>
      <c r="F36" s="103">
        <f t="shared" ref="F36:M41" si="33">(ROUNDUP($D36,0)*F$4)+F77</f>
        <v>300</v>
      </c>
      <c r="G36" s="103">
        <f t="shared" si="33"/>
        <v>3</v>
      </c>
      <c r="H36" s="103">
        <f t="shared" si="33"/>
        <v>15</v>
      </c>
      <c r="I36" s="103">
        <f t="shared" si="33"/>
        <v>150</v>
      </c>
      <c r="J36" s="104">
        <f t="shared" si="33"/>
        <v>3</v>
      </c>
      <c r="K36" s="103">
        <f t="shared" si="33"/>
        <v>150</v>
      </c>
      <c r="L36" s="103">
        <f t="shared" si="33"/>
        <v>90</v>
      </c>
      <c r="M36" s="103">
        <f t="shared" si="33"/>
        <v>150</v>
      </c>
      <c r="N36" s="103">
        <f t="shared" ref="N36:V36" si="34">(ROUNDDOWN($D36,0)*N$4)+N77</f>
        <v>40</v>
      </c>
      <c r="O36" s="103">
        <f t="shared" si="34"/>
        <v>100</v>
      </c>
      <c r="P36" s="103">
        <f t="shared" si="34"/>
        <v>100</v>
      </c>
      <c r="Q36" s="103">
        <f t="shared" si="34"/>
        <v>2</v>
      </c>
      <c r="R36" s="103">
        <f t="shared" si="34"/>
        <v>100</v>
      </c>
      <c r="S36" s="103">
        <f t="shared" si="34"/>
        <v>100</v>
      </c>
      <c r="T36" s="103">
        <f t="shared" si="34"/>
        <v>100</v>
      </c>
      <c r="U36" s="103">
        <f t="shared" si="34"/>
        <v>0</v>
      </c>
      <c r="V36" s="103">
        <f t="shared" si="34"/>
        <v>0</v>
      </c>
      <c r="W36" s="81">
        <v>0</v>
      </c>
    </row>
    <row r="37" spans="3:23" ht="13.5" customHeight="1">
      <c r="C37" s="101" t="s">
        <v>18</v>
      </c>
      <c r="D37" s="93">
        <f>'PCT continu'!R36</f>
        <v>8</v>
      </c>
      <c r="E37" s="102">
        <f>'PCT continu'!B36</f>
        <v>32</v>
      </c>
      <c r="F37" s="103">
        <f t="shared" si="33"/>
        <v>800</v>
      </c>
      <c r="G37" s="103">
        <f t="shared" si="33"/>
        <v>8</v>
      </c>
      <c r="H37" s="103">
        <f t="shared" si="33"/>
        <v>40</v>
      </c>
      <c r="I37" s="103">
        <f t="shared" si="33"/>
        <v>400</v>
      </c>
      <c r="J37" s="104">
        <f t="shared" si="33"/>
        <v>8</v>
      </c>
      <c r="K37" s="103">
        <f t="shared" si="33"/>
        <v>400</v>
      </c>
      <c r="L37" s="103">
        <f t="shared" si="33"/>
        <v>240</v>
      </c>
      <c r="M37" s="103">
        <f t="shared" si="33"/>
        <v>400</v>
      </c>
      <c r="N37" s="103">
        <f t="shared" ref="N37:V37" si="35">(ROUNDDOWN($D37,0)*N$4)+N78</f>
        <v>160</v>
      </c>
      <c r="O37" s="103">
        <f t="shared" si="35"/>
        <v>400</v>
      </c>
      <c r="P37" s="103">
        <f t="shared" si="35"/>
        <v>400</v>
      </c>
      <c r="Q37" s="103">
        <f t="shared" si="35"/>
        <v>8</v>
      </c>
      <c r="R37" s="103">
        <f t="shared" si="35"/>
        <v>400</v>
      </c>
      <c r="S37" s="103">
        <f t="shared" si="35"/>
        <v>400</v>
      </c>
      <c r="T37" s="103">
        <f t="shared" si="35"/>
        <v>400</v>
      </c>
      <c r="U37" s="103">
        <f t="shared" si="35"/>
        <v>0</v>
      </c>
      <c r="V37" s="103">
        <f t="shared" si="35"/>
        <v>0</v>
      </c>
      <c r="W37" s="81">
        <v>0</v>
      </c>
    </row>
    <row r="38" spans="3:23" ht="13.5" customHeight="1">
      <c r="C38" s="101" t="s">
        <v>19</v>
      </c>
      <c r="D38" s="93">
        <f>'PCT continu'!R37</f>
        <v>5.2</v>
      </c>
      <c r="E38" s="102">
        <f>'PCT continu'!B37</f>
        <v>33</v>
      </c>
      <c r="F38" s="103">
        <f t="shared" si="33"/>
        <v>600</v>
      </c>
      <c r="G38" s="103">
        <f t="shared" si="33"/>
        <v>6</v>
      </c>
      <c r="H38" s="103">
        <f t="shared" si="33"/>
        <v>30</v>
      </c>
      <c r="I38" s="103">
        <f t="shared" si="33"/>
        <v>300</v>
      </c>
      <c r="J38" s="104">
        <f t="shared" si="33"/>
        <v>6</v>
      </c>
      <c r="K38" s="103">
        <f t="shared" si="33"/>
        <v>300</v>
      </c>
      <c r="L38" s="103">
        <f t="shared" si="33"/>
        <v>180</v>
      </c>
      <c r="M38" s="103">
        <f t="shared" si="33"/>
        <v>300</v>
      </c>
      <c r="N38" s="103">
        <f t="shared" ref="N38:V38" si="36">(ROUNDDOWN($D38,0)*N$4)+N79</f>
        <v>100</v>
      </c>
      <c r="O38" s="103">
        <f t="shared" si="36"/>
        <v>250</v>
      </c>
      <c r="P38" s="103">
        <f t="shared" si="36"/>
        <v>250</v>
      </c>
      <c r="Q38" s="103">
        <f t="shared" si="36"/>
        <v>5</v>
      </c>
      <c r="R38" s="103">
        <f t="shared" si="36"/>
        <v>250</v>
      </c>
      <c r="S38" s="103">
        <f t="shared" si="36"/>
        <v>250</v>
      </c>
      <c r="T38" s="103">
        <f t="shared" si="36"/>
        <v>250</v>
      </c>
      <c r="U38" s="103">
        <f t="shared" si="36"/>
        <v>0</v>
      </c>
      <c r="V38" s="103">
        <f t="shared" si="36"/>
        <v>0</v>
      </c>
      <c r="W38" s="81">
        <v>0</v>
      </c>
    </row>
    <row r="39" spans="3:23" ht="13.5" customHeight="1">
      <c r="C39" s="101" t="s">
        <v>96</v>
      </c>
      <c r="D39" s="93">
        <f>'PCT continu'!R38</f>
        <v>4</v>
      </c>
      <c r="E39" s="102">
        <f>'PCT continu'!B38</f>
        <v>34</v>
      </c>
      <c r="F39" s="103">
        <f t="shared" si="33"/>
        <v>400</v>
      </c>
      <c r="G39" s="103">
        <f t="shared" si="33"/>
        <v>4</v>
      </c>
      <c r="H39" s="103">
        <f t="shared" si="33"/>
        <v>20</v>
      </c>
      <c r="I39" s="103">
        <f t="shared" si="33"/>
        <v>200</v>
      </c>
      <c r="J39" s="104">
        <f t="shared" si="33"/>
        <v>4</v>
      </c>
      <c r="K39" s="103">
        <f t="shared" si="33"/>
        <v>200</v>
      </c>
      <c r="L39" s="103">
        <f t="shared" si="33"/>
        <v>120</v>
      </c>
      <c r="M39" s="103">
        <f t="shared" si="33"/>
        <v>200</v>
      </c>
      <c r="N39" s="103">
        <f t="shared" ref="N39:V39" si="37">(ROUNDDOWN($D39,0)*N$4)+N80</f>
        <v>80</v>
      </c>
      <c r="O39" s="103">
        <f t="shared" si="37"/>
        <v>200</v>
      </c>
      <c r="P39" s="103">
        <f t="shared" si="37"/>
        <v>200</v>
      </c>
      <c r="Q39" s="103">
        <f t="shared" si="37"/>
        <v>5</v>
      </c>
      <c r="R39" s="103">
        <f t="shared" si="37"/>
        <v>250</v>
      </c>
      <c r="S39" s="103">
        <f t="shared" si="37"/>
        <v>250</v>
      </c>
      <c r="T39" s="103">
        <f t="shared" si="37"/>
        <v>200</v>
      </c>
      <c r="U39" s="103">
        <f t="shared" si="37"/>
        <v>0</v>
      </c>
      <c r="V39" s="103">
        <f t="shared" si="37"/>
        <v>0</v>
      </c>
      <c r="W39" s="81">
        <v>1</v>
      </c>
    </row>
    <row r="40" spans="3:23" ht="13.5" customHeight="1">
      <c r="C40" s="101" t="s">
        <v>20</v>
      </c>
      <c r="D40" s="93">
        <f>'PCT continu'!R39</f>
        <v>5.6</v>
      </c>
      <c r="E40" s="102">
        <f>'PCT continu'!B39</f>
        <v>35</v>
      </c>
      <c r="F40" s="103">
        <f t="shared" si="33"/>
        <v>600</v>
      </c>
      <c r="G40" s="103">
        <f t="shared" si="33"/>
        <v>6</v>
      </c>
      <c r="H40" s="103">
        <f t="shared" si="33"/>
        <v>30</v>
      </c>
      <c r="I40" s="103">
        <f t="shared" si="33"/>
        <v>300</v>
      </c>
      <c r="J40" s="104">
        <f t="shared" si="33"/>
        <v>6</v>
      </c>
      <c r="K40" s="103">
        <f t="shared" si="33"/>
        <v>300</v>
      </c>
      <c r="L40" s="103">
        <f t="shared" si="33"/>
        <v>180</v>
      </c>
      <c r="M40" s="103">
        <f t="shared" si="33"/>
        <v>300</v>
      </c>
      <c r="N40" s="103">
        <f t="shared" ref="N40:V40" si="38">(ROUNDDOWN($D40,0)*N$4)+N81</f>
        <v>100</v>
      </c>
      <c r="O40" s="103">
        <f t="shared" si="38"/>
        <v>250</v>
      </c>
      <c r="P40" s="103">
        <f t="shared" si="38"/>
        <v>250</v>
      </c>
      <c r="Q40" s="103">
        <f t="shared" si="38"/>
        <v>5</v>
      </c>
      <c r="R40" s="103">
        <f t="shared" si="38"/>
        <v>250</v>
      </c>
      <c r="S40" s="103">
        <f t="shared" si="38"/>
        <v>250</v>
      </c>
      <c r="T40" s="103">
        <f t="shared" si="38"/>
        <v>250</v>
      </c>
      <c r="U40" s="103">
        <f t="shared" si="38"/>
        <v>0</v>
      </c>
      <c r="V40" s="103">
        <f t="shared" si="38"/>
        <v>0</v>
      </c>
      <c r="W40" s="81">
        <v>0</v>
      </c>
    </row>
    <row r="41" spans="3:23" ht="13.5" customHeight="1">
      <c r="C41" s="101" t="s">
        <v>21</v>
      </c>
      <c r="D41" s="93">
        <f>'PCT continu'!R40</f>
        <v>4.5</v>
      </c>
      <c r="E41" s="102">
        <f>'PCT continu'!B40</f>
        <v>36</v>
      </c>
      <c r="F41" s="103">
        <f t="shared" si="33"/>
        <v>500</v>
      </c>
      <c r="G41" s="103">
        <f t="shared" si="33"/>
        <v>5</v>
      </c>
      <c r="H41" s="103">
        <f t="shared" si="33"/>
        <v>25</v>
      </c>
      <c r="I41" s="103">
        <f t="shared" si="33"/>
        <v>250</v>
      </c>
      <c r="J41" s="104">
        <f t="shared" si="33"/>
        <v>5</v>
      </c>
      <c r="K41" s="103">
        <f t="shared" si="33"/>
        <v>250</v>
      </c>
      <c r="L41" s="103">
        <f t="shared" si="33"/>
        <v>150</v>
      </c>
      <c r="M41" s="103">
        <f t="shared" si="33"/>
        <v>250</v>
      </c>
      <c r="N41" s="103">
        <f t="shared" ref="N41:V41" si="39">(ROUNDDOWN($D41,0)*N$4)+N82</f>
        <v>80</v>
      </c>
      <c r="O41" s="103">
        <f t="shared" si="39"/>
        <v>200</v>
      </c>
      <c r="P41" s="103">
        <f t="shared" si="39"/>
        <v>200</v>
      </c>
      <c r="Q41" s="103">
        <f t="shared" si="39"/>
        <v>5</v>
      </c>
      <c r="R41" s="103">
        <f t="shared" si="39"/>
        <v>250</v>
      </c>
      <c r="S41" s="103">
        <f t="shared" si="39"/>
        <v>250</v>
      </c>
      <c r="T41" s="103">
        <f t="shared" si="39"/>
        <v>200</v>
      </c>
      <c r="U41" s="103">
        <f t="shared" si="39"/>
        <v>0</v>
      </c>
      <c r="V41" s="103">
        <f t="shared" si="39"/>
        <v>0</v>
      </c>
      <c r="W41" s="81">
        <v>1</v>
      </c>
    </row>
    <row r="42" spans="3:23">
      <c r="F42" s="209" t="s">
        <v>134</v>
      </c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</row>
    <row r="43" spans="3:23">
      <c r="F43" s="206" t="s">
        <v>125</v>
      </c>
      <c r="G43" s="206"/>
      <c r="H43" s="207" t="s">
        <v>130</v>
      </c>
      <c r="I43" s="207"/>
      <c r="J43" s="207"/>
      <c r="K43" s="207"/>
      <c r="L43" s="207"/>
      <c r="M43" s="207"/>
      <c r="N43" s="208" t="s">
        <v>115</v>
      </c>
      <c r="O43" s="208"/>
      <c r="P43" s="208"/>
      <c r="Q43" s="208"/>
      <c r="R43" s="208"/>
      <c r="S43" s="208"/>
      <c r="T43" s="208"/>
    </row>
    <row r="44" spans="3:23">
      <c r="C44" s="85" t="s">
        <v>114</v>
      </c>
      <c r="D44" s="86" t="s">
        <v>61</v>
      </c>
      <c r="E44" s="87" t="s">
        <v>126</v>
      </c>
      <c r="F44" s="86" t="s">
        <v>116</v>
      </c>
      <c r="G44" s="86" t="s">
        <v>117</v>
      </c>
      <c r="H44" s="86" t="s">
        <v>118</v>
      </c>
      <c r="I44" s="86" t="s">
        <v>119</v>
      </c>
      <c r="J44" s="86" t="s">
        <v>122</v>
      </c>
      <c r="K44" s="86" t="s">
        <v>120</v>
      </c>
      <c r="L44" s="86" t="s">
        <v>121</v>
      </c>
      <c r="M44" s="86" t="s">
        <v>128</v>
      </c>
      <c r="N44" s="86" t="s">
        <v>123</v>
      </c>
      <c r="O44" s="86" t="s">
        <v>186</v>
      </c>
      <c r="P44" s="86" t="s">
        <v>129</v>
      </c>
      <c r="Q44" s="86" t="s">
        <v>124</v>
      </c>
      <c r="R44" s="86" t="s">
        <v>128</v>
      </c>
      <c r="S44" s="86" t="s">
        <v>120</v>
      </c>
      <c r="T44" s="86" t="s">
        <v>119</v>
      </c>
    </row>
    <row r="45" spans="3:23">
      <c r="C45" s="85"/>
      <c r="D45" s="86">
        <v>1</v>
      </c>
      <c r="E45" s="87"/>
      <c r="F45" s="86">
        <v>100</v>
      </c>
      <c r="G45" s="86">
        <v>1</v>
      </c>
      <c r="H45" s="86">
        <v>5</v>
      </c>
      <c r="I45" s="86">
        <v>50</v>
      </c>
      <c r="J45" s="86">
        <f>achats!F$18/100</f>
        <v>1</v>
      </c>
      <c r="K45" s="86">
        <v>50</v>
      </c>
      <c r="L45" s="91">
        <f>achats!F$20</f>
        <v>30</v>
      </c>
      <c r="M45" s="91">
        <f>achats!F$12</f>
        <v>50</v>
      </c>
      <c r="N45" s="86">
        <v>20</v>
      </c>
      <c r="O45" s="86">
        <v>100</v>
      </c>
      <c r="P45" s="86">
        <v>50</v>
      </c>
      <c r="Q45" s="86">
        <v>1</v>
      </c>
      <c r="R45" s="93">
        <v>50</v>
      </c>
      <c r="S45" s="93">
        <v>50</v>
      </c>
      <c r="T45" s="93">
        <v>50</v>
      </c>
    </row>
    <row r="46" spans="3:23">
      <c r="C46" s="94" t="s">
        <v>127</v>
      </c>
      <c r="F46" s="123">
        <f t="shared" ref="F46:T46" si="40">SUM(F47:F82)</f>
        <v>-100</v>
      </c>
      <c r="G46" s="123">
        <f t="shared" si="40"/>
        <v>-1</v>
      </c>
      <c r="H46" s="123">
        <f t="shared" si="40"/>
        <v>-5</v>
      </c>
      <c r="I46" s="123">
        <f t="shared" si="40"/>
        <v>-50</v>
      </c>
      <c r="J46" s="124">
        <f t="shared" si="40"/>
        <v>-1</v>
      </c>
      <c r="K46" s="123">
        <f t="shared" si="40"/>
        <v>-50</v>
      </c>
      <c r="L46" s="123">
        <f t="shared" si="40"/>
        <v>-30</v>
      </c>
      <c r="M46" s="123">
        <f t="shared" si="40"/>
        <v>-50</v>
      </c>
      <c r="N46" s="123">
        <f t="shared" si="40"/>
        <v>20</v>
      </c>
      <c r="O46" s="123">
        <f t="shared" si="40"/>
        <v>100</v>
      </c>
      <c r="P46" s="123">
        <f t="shared" si="40"/>
        <v>50</v>
      </c>
      <c r="Q46" s="124">
        <f t="shared" si="40"/>
        <v>10</v>
      </c>
      <c r="R46" s="123">
        <f t="shared" si="40"/>
        <v>200</v>
      </c>
      <c r="S46" s="123">
        <f t="shared" si="40"/>
        <v>450</v>
      </c>
      <c r="T46" s="123">
        <f t="shared" si="40"/>
        <v>100</v>
      </c>
    </row>
    <row r="47" spans="3:23" ht="12.75" customHeight="1">
      <c r="C47" s="101" t="str">
        <f>C6</f>
        <v>US/Mexico Border to Mt Laguna</v>
      </c>
      <c r="D47" s="99">
        <f>D6</f>
        <v>2.4</v>
      </c>
      <c r="E47" s="87">
        <v>1</v>
      </c>
      <c r="F47" s="93">
        <v>0</v>
      </c>
      <c r="G47" s="93">
        <v>0</v>
      </c>
      <c r="H47" s="93">
        <v>0</v>
      </c>
      <c r="I47" s="93">
        <v>0</v>
      </c>
      <c r="J47" s="100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100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81">
        <f>W6</f>
        <v>0</v>
      </c>
    </row>
    <row r="48" spans="3:23" ht="12.75" customHeight="1">
      <c r="C48" s="101" t="str">
        <f t="shared" ref="C48:D82" si="41">C7</f>
        <v>Mt Laguna to Warner Springs</v>
      </c>
      <c r="D48" s="93">
        <f>D7</f>
        <v>3.5</v>
      </c>
      <c r="E48" s="87">
        <v>2</v>
      </c>
      <c r="F48" s="93">
        <v>0</v>
      </c>
      <c r="G48" s="93">
        <v>0</v>
      </c>
      <c r="H48" s="93">
        <v>0</v>
      </c>
      <c r="I48" s="93">
        <v>0</v>
      </c>
      <c r="J48" s="100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100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81">
        <f t="shared" ref="W48:W82" si="42">W7</f>
        <v>0</v>
      </c>
    </row>
    <row r="49" spans="3:23" ht="12.75" customHeight="1">
      <c r="C49" s="101" t="str">
        <f t="shared" si="41"/>
        <v>Warner Springs to Paradise Corner Café</v>
      </c>
      <c r="D49" s="93">
        <f t="shared" si="41"/>
        <v>2.4</v>
      </c>
      <c r="E49" s="87">
        <v>3</v>
      </c>
      <c r="F49" s="93">
        <v>0</v>
      </c>
      <c r="G49" s="93">
        <v>0</v>
      </c>
      <c r="H49" s="93">
        <v>0</v>
      </c>
      <c r="I49" s="93">
        <v>0</v>
      </c>
      <c r="J49" s="100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100">
        <v>1</v>
      </c>
      <c r="R49" s="93">
        <f>R45</f>
        <v>50</v>
      </c>
      <c r="S49" s="93">
        <f t="shared" ref="S49:T49" si="43">S45</f>
        <v>50</v>
      </c>
      <c r="T49" s="93">
        <f t="shared" si="43"/>
        <v>50</v>
      </c>
      <c r="U49" s="93">
        <v>0</v>
      </c>
      <c r="V49" s="93">
        <v>0</v>
      </c>
      <c r="W49" s="81">
        <f t="shared" si="42"/>
        <v>1</v>
      </c>
    </row>
    <row r="50" spans="3:23" ht="12.75" customHeight="1">
      <c r="C50" s="101" t="str">
        <f t="shared" si="41"/>
        <v>Paradise Corner Café to Idyllwild (CLOSURE)</v>
      </c>
      <c r="D50" s="93">
        <f t="shared" si="41"/>
        <v>0.99</v>
      </c>
      <c r="E50" s="87">
        <v>4</v>
      </c>
      <c r="F50" s="93">
        <f>-F45</f>
        <v>-100</v>
      </c>
      <c r="G50" s="93">
        <f t="shared" ref="G50:M50" si="44">-G45</f>
        <v>-1</v>
      </c>
      <c r="H50" s="93">
        <f t="shared" si="44"/>
        <v>-5</v>
      </c>
      <c r="I50" s="93">
        <f t="shared" si="44"/>
        <v>-50</v>
      </c>
      <c r="J50" s="93">
        <f t="shared" si="44"/>
        <v>-1</v>
      </c>
      <c r="K50" s="93">
        <f t="shared" si="44"/>
        <v>-50</v>
      </c>
      <c r="L50" s="93">
        <f t="shared" si="44"/>
        <v>-30</v>
      </c>
      <c r="M50" s="93">
        <f t="shared" si="44"/>
        <v>-50</v>
      </c>
      <c r="N50" s="93">
        <v>0</v>
      </c>
      <c r="O50" s="93">
        <v>0</v>
      </c>
      <c r="P50" s="93">
        <v>0</v>
      </c>
      <c r="Q50" s="100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81">
        <f t="shared" si="42"/>
        <v>1</v>
      </c>
    </row>
    <row r="51" spans="3:23" ht="12.75" customHeight="1">
      <c r="C51" s="101" t="str">
        <f t="shared" si="41"/>
        <v xml:space="preserve"> Idyllwild to Ziggy and the Bear</v>
      </c>
      <c r="D51" s="93">
        <f t="shared" si="41"/>
        <v>1.9</v>
      </c>
      <c r="E51" s="87">
        <v>5</v>
      </c>
      <c r="F51" s="93">
        <v>0</v>
      </c>
      <c r="G51" s="93">
        <v>0</v>
      </c>
      <c r="H51" s="93">
        <v>0</v>
      </c>
      <c r="I51" s="93">
        <v>0</v>
      </c>
      <c r="J51" s="100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100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81">
        <f t="shared" si="42"/>
        <v>0</v>
      </c>
    </row>
    <row r="52" spans="3:23" ht="12.75" customHeight="1">
      <c r="C52" s="101" t="str">
        <f t="shared" si="41"/>
        <v xml:space="preserve">Ziggy and the Bear to Big Bear City </v>
      </c>
      <c r="D52" s="93">
        <f t="shared" si="41"/>
        <v>0.9</v>
      </c>
      <c r="E52" s="87">
        <v>6</v>
      </c>
      <c r="F52" s="93">
        <v>0</v>
      </c>
      <c r="G52" s="93">
        <v>0</v>
      </c>
      <c r="H52" s="93">
        <v>0</v>
      </c>
      <c r="I52" s="93">
        <v>0</v>
      </c>
      <c r="J52" s="100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100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81">
        <f t="shared" si="42"/>
        <v>0</v>
      </c>
    </row>
    <row r="53" spans="3:23" ht="12.75" customHeight="1">
      <c r="C53" s="101" t="str">
        <f t="shared" si="41"/>
        <v>Bear to Big Bear to Wrightwood</v>
      </c>
      <c r="D53" s="93">
        <f t="shared" si="41"/>
        <v>4.9000000000000004</v>
      </c>
      <c r="E53" s="87">
        <v>7</v>
      </c>
      <c r="F53" s="93">
        <v>0</v>
      </c>
      <c r="G53" s="93">
        <v>0</v>
      </c>
      <c r="H53" s="93">
        <v>0</v>
      </c>
      <c r="I53" s="93">
        <v>0</v>
      </c>
      <c r="J53" s="100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100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81">
        <f t="shared" si="42"/>
        <v>0</v>
      </c>
    </row>
    <row r="54" spans="3:23" ht="12.75" customHeight="1">
      <c r="C54" s="101" t="str">
        <f t="shared" si="41"/>
        <v>Wrightwood to Agua Dulce</v>
      </c>
      <c r="D54" s="93">
        <f t="shared" si="41"/>
        <v>4.9000000000000004</v>
      </c>
      <c r="E54" s="87">
        <v>8</v>
      </c>
      <c r="F54" s="93">
        <v>0</v>
      </c>
      <c r="G54" s="93">
        <v>0</v>
      </c>
      <c r="H54" s="93">
        <v>0</v>
      </c>
      <c r="I54" s="93">
        <v>0</v>
      </c>
      <c r="J54" s="100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100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81">
        <f t="shared" si="42"/>
        <v>0</v>
      </c>
    </row>
    <row r="55" spans="3:23" ht="12.75" customHeight="1">
      <c r="C55" s="101" t="str">
        <f t="shared" si="41"/>
        <v xml:space="preserve"> Agua Dulce to Tehachapi DETOUR</v>
      </c>
      <c r="D55" s="93">
        <f t="shared" si="41"/>
        <v>5.6</v>
      </c>
      <c r="E55" s="87">
        <v>9</v>
      </c>
      <c r="F55" s="93">
        <v>0</v>
      </c>
      <c r="G55" s="93">
        <v>0</v>
      </c>
      <c r="H55" s="93">
        <v>0</v>
      </c>
      <c r="I55" s="93">
        <v>0</v>
      </c>
      <c r="J55" s="100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100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81">
        <f t="shared" si="42"/>
        <v>0</v>
      </c>
    </row>
    <row r="56" spans="3:23" ht="12.75" customHeight="1">
      <c r="C56" s="101" t="str">
        <f t="shared" si="41"/>
        <v>Tehachapi to Lake Isabella</v>
      </c>
      <c r="D56" s="93">
        <f t="shared" si="41"/>
        <v>4.9000000000000004</v>
      </c>
      <c r="E56" s="87">
        <v>10</v>
      </c>
      <c r="F56" s="93">
        <v>0</v>
      </c>
      <c r="G56" s="93">
        <v>0</v>
      </c>
      <c r="H56" s="93">
        <v>0</v>
      </c>
      <c r="I56" s="93">
        <v>0</v>
      </c>
      <c r="J56" s="100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100">
        <v>1</v>
      </c>
      <c r="R56" s="93">
        <v>0</v>
      </c>
      <c r="S56" s="93">
        <f>S45</f>
        <v>50</v>
      </c>
      <c r="T56" s="93">
        <v>0</v>
      </c>
      <c r="U56" s="93">
        <v>0</v>
      </c>
      <c r="V56" s="93">
        <v>0</v>
      </c>
      <c r="W56" s="81">
        <f t="shared" si="42"/>
        <v>1</v>
      </c>
    </row>
    <row r="57" spans="3:23" ht="12.75" customHeight="1">
      <c r="C57" s="101" t="str">
        <f t="shared" si="41"/>
        <v>Lake Isabella to Kennedy Meadows Store</v>
      </c>
      <c r="D57" s="93">
        <f t="shared" si="41"/>
        <v>2.8</v>
      </c>
      <c r="E57" s="87">
        <v>11</v>
      </c>
      <c r="F57" s="93">
        <v>0</v>
      </c>
      <c r="G57" s="93">
        <v>0</v>
      </c>
      <c r="H57" s="93">
        <v>0</v>
      </c>
      <c r="I57" s="93">
        <v>0</v>
      </c>
      <c r="J57" s="100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100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81">
        <f t="shared" si="42"/>
        <v>0</v>
      </c>
    </row>
    <row r="58" spans="3:23" ht="12.75" customHeight="1">
      <c r="C58" s="101" t="str">
        <f t="shared" si="41"/>
        <v xml:space="preserve"> Kennedy Meadows to Lone Pine</v>
      </c>
      <c r="D58" s="93">
        <f t="shared" si="41"/>
        <v>4.5</v>
      </c>
      <c r="E58" s="87">
        <v>12</v>
      </c>
      <c r="F58" s="93">
        <v>0</v>
      </c>
      <c r="G58" s="93">
        <v>0</v>
      </c>
      <c r="H58" s="93">
        <v>0</v>
      </c>
      <c r="I58" s="93">
        <v>0</v>
      </c>
      <c r="J58" s="100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100">
        <v>2</v>
      </c>
      <c r="R58" s="93">
        <v>0</v>
      </c>
      <c r="S58" s="93">
        <f>S45*2</f>
        <v>100</v>
      </c>
      <c r="T58" s="93">
        <v>0</v>
      </c>
      <c r="U58" s="93">
        <v>0</v>
      </c>
      <c r="V58" s="93">
        <v>0</v>
      </c>
      <c r="W58" s="81">
        <f t="shared" si="42"/>
        <v>1</v>
      </c>
    </row>
    <row r="59" spans="3:23" ht="12.75" customHeight="1">
      <c r="C59" s="101" t="str">
        <f t="shared" si="41"/>
        <v xml:space="preserve">Lone Pine to Independence </v>
      </c>
      <c r="D59" s="93">
        <f t="shared" si="41"/>
        <v>4.7</v>
      </c>
      <c r="E59" s="87">
        <v>13</v>
      </c>
      <c r="F59" s="93">
        <v>0</v>
      </c>
      <c r="G59" s="93">
        <v>0</v>
      </c>
      <c r="H59" s="93">
        <v>0</v>
      </c>
      <c r="I59" s="93">
        <v>0</v>
      </c>
      <c r="J59" s="100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100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81">
        <f t="shared" si="42"/>
        <v>1</v>
      </c>
    </row>
    <row r="60" spans="3:23" ht="12.75" customHeight="1">
      <c r="C60" s="101" t="str">
        <f t="shared" si="41"/>
        <v xml:space="preserve"> Independence  to Vermillion Valley Resort</v>
      </c>
      <c r="D60" s="93">
        <f t="shared" si="41"/>
        <v>8.3000000000000007</v>
      </c>
      <c r="E60" s="87">
        <v>14</v>
      </c>
      <c r="F60" s="93">
        <v>0</v>
      </c>
      <c r="G60" s="93">
        <v>0</v>
      </c>
      <c r="H60" s="93">
        <v>0</v>
      </c>
      <c r="I60" s="93">
        <v>0</v>
      </c>
      <c r="J60" s="100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100">
        <v>1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81">
        <f t="shared" si="42"/>
        <v>0</v>
      </c>
    </row>
    <row r="61" spans="3:23" ht="12.75" customHeight="1">
      <c r="C61" s="101" t="str">
        <f t="shared" si="41"/>
        <v>Vermillion Valley to Tuolumne Meadows</v>
      </c>
      <c r="D61" s="93">
        <f t="shared" si="41"/>
        <v>5.4</v>
      </c>
      <c r="E61" s="87">
        <v>15</v>
      </c>
      <c r="F61" s="93">
        <v>0</v>
      </c>
      <c r="G61" s="93">
        <v>0</v>
      </c>
      <c r="H61" s="93">
        <v>0</v>
      </c>
      <c r="I61" s="93">
        <v>0</v>
      </c>
      <c r="J61" s="100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100">
        <v>1</v>
      </c>
      <c r="R61" s="93">
        <v>0</v>
      </c>
      <c r="S61" s="93">
        <v>50</v>
      </c>
      <c r="T61" s="93">
        <v>0</v>
      </c>
      <c r="U61" s="93">
        <v>0</v>
      </c>
      <c r="V61" s="93">
        <v>0</v>
      </c>
      <c r="W61" s="81">
        <f t="shared" si="42"/>
        <v>1</v>
      </c>
    </row>
    <row r="62" spans="3:23" ht="12.75" customHeight="1">
      <c r="C62" s="101" t="str">
        <f t="shared" si="41"/>
        <v>Tuolumne Meadows to Sonora Pass resupply</v>
      </c>
      <c r="D62" s="93">
        <f t="shared" si="41"/>
        <v>6.2</v>
      </c>
      <c r="E62" s="87">
        <v>16</v>
      </c>
      <c r="F62" s="93">
        <v>0</v>
      </c>
      <c r="G62" s="93">
        <v>0</v>
      </c>
      <c r="H62" s="93">
        <v>0</v>
      </c>
      <c r="I62" s="93">
        <v>0</v>
      </c>
      <c r="J62" s="100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100">
        <v>1</v>
      </c>
      <c r="R62" s="93">
        <v>0</v>
      </c>
      <c r="S62" s="93">
        <v>50</v>
      </c>
      <c r="T62" s="93">
        <v>0</v>
      </c>
      <c r="U62" s="93">
        <v>0</v>
      </c>
      <c r="V62" s="93">
        <v>0</v>
      </c>
      <c r="W62" s="81">
        <f t="shared" si="42"/>
        <v>1</v>
      </c>
    </row>
    <row r="63" spans="3:23" ht="12.75" customHeight="1">
      <c r="C63" s="101" t="str">
        <f t="shared" si="41"/>
        <v>Sonora Pass to South Lake Tahoe</v>
      </c>
      <c r="D63" s="93">
        <f t="shared" si="41"/>
        <v>5.7</v>
      </c>
      <c r="E63" s="87">
        <v>17</v>
      </c>
      <c r="F63" s="93">
        <v>0</v>
      </c>
      <c r="G63" s="93">
        <v>0</v>
      </c>
      <c r="H63" s="93">
        <v>0</v>
      </c>
      <c r="I63" s="93">
        <v>0</v>
      </c>
      <c r="J63" s="100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100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81">
        <f t="shared" si="42"/>
        <v>0</v>
      </c>
    </row>
    <row r="64" spans="3:23" ht="12.75" customHeight="1">
      <c r="C64" s="101" t="str">
        <f t="shared" si="41"/>
        <v>South Lake Tahoe to Sierra City</v>
      </c>
      <c r="D64" s="93">
        <f t="shared" si="41"/>
        <v>5.0999999999999996</v>
      </c>
      <c r="E64" s="87">
        <v>18</v>
      </c>
      <c r="F64" s="93">
        <v>0</v>
      </c>
      <c r="G64" s="93">
        <v>0</v>
      </c>
      <c r="H64" s="93">
        <v>0</v>
      </c>
      <c r="I64" s="93">
        <v>0</v>
      </c>
      <c r="J64" s="100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100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81">
        <f t="shared" si="42"/>
        <v>0</v>
      </c>
    </row>
    <row r="65" spans="3:23" ht="12.75" customHeight="1">
      <c r="C65" s="101" t="str">
        <f t="shared" si="41"/>
        <v>Sierra City to Quincy</v>
      </c>
      <c r="D65" s="93">
        <f t="shared" si="41"/>
        <v>3.6</v>
      </c>
      <c r="E65" s="87">
        <v>19</v>
      </c>
      <c r="F65" s="93">
        <v>0</v>
      </c>
      <c r="G65" s="93">
        <v>0</v>
      </c>
      <c r="H65" s="93">
        <v>0</v>
      </c>
      <c r="I65" s="93">
        <v>0</v>
      </c>
      <c r="J65" s="100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100">
        <v>0</v>
      </c>
      <c r="R65" s="93">
        <v>0</v>
      </c>
      <c r="S65" s="93">
        <v>0</v>
      </c>
      <c r="T65" s="93">
        <v>0</v>
      </c>
      <c r="U65" s="93">
        <v>0</v>
      </c>
      <c r="V65" s="93">
        <v>0</v>
      </c>
      <c r="W65" s="81">
        <f t="shared" si="42"/>
        <v>0</v>
      </c>
    </row>
    <row r="66" spans="3:23" ht="12.75" customHeight="1">
      <c r="C66" s="101" t="str">
        <f t="shared" si="41"/>
        <v>Quincy to Drakesbad Ranch</v>
      </c>
      <c r="D66" s="93">
        <f t="shared" si="41"/>
        <v>4.5</v>
      </c>
      <c r="E66" s="87">
        <v>20</v>
      </c>
      <c r="F66" s="93">
        <f>F45</f>
        <v>100</v>
      </c>
      <c r="G66" s="93">
        <f t="shared" ref="G66:T66" si="45">G45</f>
        <v>1</v>
      </c>
      <c r="H66" s="93">
        <f t="shared" si="45"/>
        <v>5</v>
      </c>
      <c r="I66" s="93">
        <f t="shared" si="45"/>
        <v>50</v>
      </c>
      <c r="J66" s="93">
        <f t="shared" si="45"/>
        <v>1</v>
      </c>
      <c r="K66" s="93">
        <f t="shared" si="45"/>
        <v>50</v>
      </c>
      <c r="L66" s="93">
        <f t="shared" si="45"/>
        <v>30</v>
      </c>
      <c r="M66" s="93">
        <f t="shared" si="45"/>
        <v>50</v>
      </c>
      <c r="N66" s="93">
        <f>N45</f>
        <v>20</v>
      </c>
      <c r="O66" s="93">
        <f t="shared" si="45"/>
        <v>100</v>
      </c>
      <c r="P66" s="93">
        <f t="shared" si="45"/>
        <v>50</v>
      </c>
      <c r="Q66" s="93">
        <f t="shared" si="45"/>
        <v>1</v>
      </c>
      <c r="R66" s="93">
        <f t="shared" si="45"/>
        <v>50</v>
      </c>
      <c r="S66" s="93">
        <f t="shared" si="45"/>
        <v>50</v>
      </c>
      <c r="T66" s="93">
        <f t="shared" si="45"/>
        <v>50</v>
      </c>
      <c r="U66" s="93">
        <v>0</v>
      </c>
      <c r="V66" s="93">
        <v>0</v>
      </c>
      <c r="W66" s="81">
        <f t="shared" si="42"/>
        <v>1</v>
      </c>
    </row>
    <row r="67" spans="3:23" ht="12.75" customHeight="1">
      <c r="C67" s="101" t="str">
        <f t="shared" si="41"/>
        <v>Drakesbad Ranch to Old Station</v>
      </c>
      <c r="D67" s="93">
        <f t="shared" si="41"/>
        <v>0.9</v>
      </c>
      <c r="E67" s="87">
        <v>21</v>
      </c>
      <c r="F67" s="93">
        <f>-F45</f>
        <v>-100</v>
      </c>
      <c r="G67" s="93">
        <f t="shared" ref="G67:M67" si="46">-G45</f>
        <v>-1</v>
      </c>
      <c r="H67" s="93">
        <f t="shared" si="46"/>
        <v>-5</v>
      </c>
      <c r="I67" s="93">
        <f t="shared" si="46"/>
        <v>-50</v>
      </c>
      <c r="J67" s="93">
        <f t="shared" si="46"/>
        <v>-1</v>
      </c>
      <c r="K67" s="93">
        <f t="shared" si="46"/>
        <v>-50</v>
      </c>
      <c r="L67" s="93">
        <f t="shared" si="46"/>
        <v>-30</v>
      </c>
      <c r="M67" s="93">
        <f t="shared" si="46"/>
        <v>-50</v>
      </c>
      <c r="N67" s="93">
        <v>0</v>
      </c>
      <c r="O67" s="93">
        <v>0</v>
      </c>
      <c r="P67" s="93">
        <v>0</v>
      </c>
      <c r="Q67" s="100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81">
        <f t="shared" si="42"/>
        <v>1</v>
      </c>
    </row>
    <row r="68" spans="3:23" ht="12.75" customHeight="1">
      <c r="C68" s="101" t="str">
        <f t="shared" si="41"/>
        <v xml:space="preserve"> to Burney Falls SP </v>
      </c>
      <c r="D68" s="93">
        <f t="shared" si="41"/>
        <v>1.9</v>
      </c>
      <c r="E68" s="87">
        <v>22</v>
      </c>
      <c r="F68" s="93">
        <v>0</v>
      </c>
      <c r="G68" s="93">
        <v>0</v>
      </c>
      <c r="H68" s="93">
        <v>0</v>
      </c>
      <c r="I68" s="93">
        <v>0</v>
      </c>
      <c r="J68" s="100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100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81">
        <f t="shared" si="42"/>
        <v>0</v>
      </c>
    </row>
    <row r="69" spans="3:23" ht="12.75" customHeight="1">
      <c r="C69" s="101" t="str">
        <f t="shared" si="41"/>
        <v>Burney Falls SP to Castella</v>
      </c>
      <c r="D69" s="93">
        <f t="shared" si="41"/>
        <v>3.9</v>
      </c>
      <c r="E69" s="87">
        <v>23</v>
      </c>
      <c r="F69" s="93">
        <v>0</v>
      </c>
      <c r="G69" s="93">
        <v>0</v>
      </c>
      <c r="H69" s="93">
        <v>0</v>
      </c>
      <c r="I69" s="93">
        <v>0</v>
      </c>
      <c r="J69" s="100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100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81">
        <f t="shared" si="42"/>
        <v>0</v>
      </c>
    </row>
    <row r="70" spans="3:23" ht="12.75" customHeight="1">
      <c r="C70" s="101" t="str">
        <f t="shared" si="41"/>
        <v>Mt. Shasta City to Etna</v>
      </c>
      <c r="D70" s="93">
        <f t="shared" si="41"/>
        <v>4.8</v>
      </c>
      <c r="E70" s="87">
        <v>24</v>
      </c>
      <c r="F70" s="93">
        <v>0</v>
      </c>
      <c r="G70" s="93">
        <v>0</v>
      </c>
      <c r="H70" s="93">
        <v>0</v>
      </c>
      <c r="I70" s="93">
        <v>0</v>
      </c>
      <c r="J70" s="100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100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81">
        <f t="shared" si="42"/>
        <v>0</v>
      </c>
    </row>
    <row r="71" spans="3:23" ht="12.75" customHeight="1">
      <c r="C71" s="101" t="str">
        <f t="shared" si="41"/>
        <v>Etna to Seiad Valley</v>
      </c>
      <c r="D71" s="93">
        <f t="shared" si="41"/>
        <v>2.6</v>
      </c>
      <c r="E71" s="87">
        <v>25</v>
      </c>
      <c r="F71" s="93">
        <v>0</v>
      </c>
      <c r="G71" s="93">
        <v>0</v>
      </c>
      <c r="H71" s="93">
        <v>0</v>
      </c>
      <c r="I71" s="93">
        <v>0</v>
      </c>
      <c r="J71" s="100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100">
        <v>0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81">
        <f t="shared" si="42"/>
        <v>0</v>
      </c>
    </row>
    <row r="72" spans="3:23" ht="12.75" customHeight="1">
      <c r="C72" s="101" t="str">
        <f t="shared" si="41"/>
        <v>Seiad Valley to Ashland</v>
      </c>
      <c r="D72" s="93">
        <f t="shared" si="41"/>
        <v>3.3</v>
      </c>
      <c r="E72" s="87">
        <v>26</v>
      </c>
      <c r="F72" s="93">
        <v>0</v>
      </c>
      <c r="G72" s="93">
        <v>0</v>
      </c>
      <c r="H72" s="93">
        <v>0</v>
      </c>
      <c r="I72" s="93">
        <v>0</v>
      </c>
      <c r="J72" s="100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100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81">
        <f t="shared" si="42"/>
        <v>0</v>
      </c>
    </row>
    <row r="73" spans="3:23" ht="12.75" customHeight="1">
      <c r="C73" s="101" t="str">
        <f t="shared" si="41"/>
        <v>Ashland to Crater Lake (Mazama Village)</v>
      </c>
      <c r="D73" s="93">
        <f t="shared" si="41"/>
        <v>5.2</v>
      </c>
      <c r="E73" s="87">
        <v>27</v>
      </c>
      <c r="F73" s="93">
        <v>0</v>
      </c>
      <c r="G73" s="93">
        <v>0</v>
      </c>
      <c r="H73" s="93">
        <v>0</v>
      </c>
      <c r="I73" s="93">
        <v>0</v>
      </c>
      <c r="J73" s="100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100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81">
        <f t="shared" si="42"/>
        <v>0</v>
      </c>
    </row>
    <row r="74" spans="3:23" ht="12.75" customHeight="1">
      <c r="C74" s="101" t="str">
        <f t="shared" si="41"/>
        <v>Crater Lake  to Shelter Cove Resort</v>
      </c>
      <c r="D74" s="93">
        <f t="shared" si="41"/>
        <v>3.9</v>
      </c>
      <c r="E74" s="87">
        <v>28</v>
      </c>
      <c r="F74" s="93">
        <v>0</v>
      </c>
      <c r="G74" s="93">
        <v>0</v>
      </c>
      <c r="H74" s="93">
        <v>0</v>
      </c>
      <c r="I74" s="93">
        <v>0</v>
      </c>
      <c r="J74" s="100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100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81">
        <f t="shared" si="42"/>
        <v>0</v>
      </c>
    </row>
    <row r="75" spans="3:23" ht="12.75" customHeight="1">
      <c r="C75" s="101" t="str">
        <f t="shared" si="41"/>
        <v>Shelter Cove Resort to Sisters</v>
      </c>
      <c r="D75" s="93">
        <f t="shared" si="41"/>
        <v>3.6</v>
      </c>
      <c r="E75" s="87">
        <v>29</v>
      </c>
      <c r="F75" s="93">
        <v>0</v>
      </c>
      <c r="G75" s="93">
        <v>0</v>
      </c>
      <c r="H75" s="93">
        <v>0</v>
      </c>
      <c r="I75" s="93">
        <v>0</v>
      </c>
      <c r="J75" s="100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  <c r="Q75" s="100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81">
        <f t="shared" si="42"/>
        <v>0</v>
      </c>
    </row>
    <row r="76" spans="3:23" ht="12.75" customHeight="1">
      <c r="C76" s="101" t="str">
        <f t="shared" si="41"/>
        <v>Sisters to Timberline Lodge</v>
      </c>
      <c r="D76" s="93">
        <f t="shared" si="41"/>
        <v>6</v>
      </c>
      <c r="E76" s="87">
        <v>30</v>
      </c>
      <c r="F76" s="93">
        <v>0</v>
      </c>
      <c r="G76" s="93">
        <v>0</v>
      </c>
      <c r="H76" s="93">
        <v>0</v>
      </c>
      <c r="I76" s="93">
        <v>0</v>
      </c>
      <c r="J76" s="100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100">
        <v>0</v>
      </c>
      <c r="R76" s="93">
        <v>0</v>
      </c>
      <c r="S76" s="93">
        <v>0</v>
      </c>
      <c r="T76" s="93">
        <v>0</v>
      </c>
      <c r="U76" s="93">
        <v>0</v>
      </c>
      <c r="V76" s="93">
        <v>0</v>
      </c>
      <c r="W76" s="81">
        <f t="shared" si="42"/>
        <v>0</v>
      </c>
    </row>
    <row r="77" spans="3:23" ht="12.75" customHeight="1">
      <c r="C77" s="101" t="str">
        <f t="shared" si="41"/>
        <v>Timberline Lodge to Cascade Locks</v>
      </c>
      <c r="D77" s="93">
        <f t="shared" si="41"/>
        <v>2.2000000000000002</v>
      </c>
      <c r="E77" s="87">
        <v>31</v>
      </c>
      <c r="F77" s="93">
        <v>0</v>
      </c>
      <c r="G77" s="93">
        <v>0</v>
      </c>
      <c r="H77" s="93">
        <v>0</v>
      </c>
      <c r="I77" s="93">
        <v>0</v>
      </c>
      <c r="J77" s="100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100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81">
        <f t="shared" si="42"/>
        <v>0</v>
      </c>
    </row>
    <row r="78" spans="3:23" ht="12.75" customHeight="1">
      <c r="C78" s="101" t="str">
        <f t="shared" si="41"/>
        <v>Cascade Locks to White Pass</v>
      </c>
      <c r="D78" s="93">
        <f t="shared" si="41"/>
        <v>8</v>
      </c>
      <c r="E78" s="87">
        <v>32</v>
      </c>
      <c r="F78" s="93">
        <v>0</v>
      </c>
      <c r="G78" s="93">
        <v>0</v>
      </c>
      <c r="H78" s="93">
        <v>0</v>
      </c>
      <c r="I78" s="93">
        <v>0</v>
      </c>
      <c r="J78" s="100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93">
        <v>0</v>
      </c>
      <c r="Q78" s="100">
        <v>0</v>
      </c>
      <c r="R78" s="93">
        <v>0</v>
      </c>
      <c r="S78" s="93">
        <v>0</v>
      </c>
      <c r="T78" s="93">
        <v>0</v>
      </c>
      <c r="U78" s="93">
        <v>0</v>
      </c>
      <c r="V78" s="93">
        <v>0</v>
      </c>
      <c r="W78" s="81">
        <f t="shared" si="42"/>
        <v>0</v>
      </c>
    </row>
    <row r="79" spans="3:23" ht="12.75" customHeight="1">
      <c r="C79" s="101" t="str">
        <f t="shared" si="41"/>
        <v>White Pass to Snoqualmie Pass</v>
      </c>
      <c r="D79" s="93">
        <f t="shared" si="41"/>
        <v>5.2</v>
      </c>
      <c r="E79" s="87">
        <v>33</v>
      </c>
      <c r="F79" s="93">
        <v>0</v>
      </c>
      <c r="G79" s="93">
        <v>0</v>
      </c>
      <c r="H79" s="93">
        <v>0</v>
      </c>
      <c r="I79" s="93">
        <v>0</v>
      </c>
      <c r="J79" s="100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3">
        <v>0</v>
      </c>
      <c r="Q79" s="100">
        <v>0</v>
      </c>
      <c r="R79" s="93">
        <v>0</v>
      </c>
      <c r="S79" s="93">
        <v>0</v>
      </c>
      <c r="T79" s="93">
        <v>0</v>
      </c>
      <c r="U79" s="93">
        <v>0</v>
      </c>
      <c r="V79" s="93">
        <v>0</v>
      </c>
      <c r="W79" s="81">
        <f t="shared" si="42"/>
        <v>0</v>
      </c>
    </row>
    <row r="80" spans="3:23" ht="12.75" customHeight="1">
      <c r="C80" s="101" t="str">
        <f t="shared" si="41"/>
        <v>Snoqualmie Pass to Barrings</v>
      </c>
      <c r="D80" s="93">
        <f t="shared" si="41"/>
        <v>4</v>
      </c>
      <c r="E80" s="87">
        <v>34</v>
      </c>
      <c r="F80" s="93">
        <v>0</v>
      </c>
      <c r="G80" s="93">
        <v>0</v>
      </c>
      <c r="H80" s="93">
        <v>0</v>
      </c>
      <c r="I80" s="93">
        <v>0</v>
      </c>
      <c r="J80" s="100">
        <v>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93">
        <v>0</v>
      </c>
      <c r="Q80" s="100">
        <v>1</v>
      </c>
      <c r="R80" s="93">
        <v>50</v>
      </c>
      <c r="S80" s="93">
        <v>50</v>
      </c>
      <c r="T80" s="93">
        <v>0</v>
      </c>
      <c r="U80" s="93">
        <v>0</v>
      </c>
      <c r="V80" s="93">
        <v>0</v>
      </c>
      <c r="W80" s="81">
        <f t="shared" si="42"/>
        <v>1</v>
      </c>
    </row>
    <row r="81" spans="3:23" ht="12.75" customHeight="1">
      <c r="C81" s="101" t="str">
        <f t="shared" si="41"/>
        <v>Skykomish to Stehekin</v>
      </c>
      <c r="D81" s="93">
        <f t="shared" si="41"/>
        <v>5.6</v>
      </c>
      <c r="E81" s="87">
        <v>35</v>
      </c>
      <c r="F81" s="93">
        <v>0</v>
      </c>
      <c r="G81" s="93">
        <v>0</v>
      </c>
      <c r="H81" s="93">
        <v>0</v>
      </c>
      <c r="I81" s="93">
        <v>0</v>
      </c>
      <c r="J81" s="100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93">
        <v>0</v>
      </c>
      <c r="Q81" s="100">
        <v>0</v>
      </c>
      <c r="R81" s="93">
        <v>0</v>
      </c>
      <c r="S81" s="93">
        <v>0</v>
      </c>
      <c r="T81" s="93">
        <v>0</v>
      </c>
      <c r="U81" s="93">
        <v>0</v>
      </c>
      <c r="V81" s="93">
        <v>0</v>
      </c>
      <c r="W81" s="81">
        <f t="shared" si="42"/>
        <v>0</v>
      </c>
    </row>
    <row r="82" spans="3:23" ht="12.75" customHeight="1">
      <c r="C82" s="101" t="str">
        <f t="shared" si="41"/>
        <v>Stehekin to Manning Park</v>
      </c>
      <c r="D82" s="93">
        <f t="shared" si="41"/>
        <v>4.5</v>
      </c>
      <c r="E82" s="87">
        <v>36</v>
      </c>
      <c r="F82" s="93">
        <v>0</v>
      </c>
      <c r="G82" s="93">
        <v>0</v>
      </c>
      <c r="H82" s="93">
        <v>0</v>
      </c>
      <c r="I82" s="93">
        <v>0</v>
      </c>
      <c r="J82" s="100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v>0</v>
      </c>
      <c r="Q82" s="100">
        <v>1</v>
      </c>
      <c r="R82" s="93">
        <v>50</v>
      </c>
      <c r="S82" s="93">
        <v>50</v>
      </c>
      <c r="T82" s="93">
        <v>0</v>
      </c>
      <c r="U82" s="93">
        <v>0</v>
      </c>
      <c r="V82" s="93">
        <v>0</v>
      </c>
      <c r="W82" s="81">
        <f t="shared" si="42"/>
        <v>1</v>
      </c>
    </row>
  </sheetData>
  <mergeCells count="8">
    <mergeCell ref="H1:R1"/>
    <mergeCell ref="N2:T2"/>
    <mergeCell ref="F2:G2"/>
    <mergeCell ref="H2:M2"/>
    <mergeCell ref="F43:G43"/>
    <mergeCell ref="H43:M43"/>
    <mergeCell ref="N43:T43"/>
    <mergeCell ref="F42:T42"/>
  </mergeCells>
  <conditionalFormatting sqref="W1:W1048576">
    <cfRule type="cellIs" dxfId="3" priority="2" operator="greaterThan">
      <formula>0.5</formula>
    </cfRule>
  </conditionalFormatting>
  <conditionalFormatting sqref="F47:V82">
    <cfRule type="cellIs" dxfId="2" priority="1" operator="notEqual">
      <formula>0</formula>
    </cfRule>
  </conditionalFormatting>
  <pageMargins left="0.11811023622047245" right="0.19685039370078741" top="0.15748031496062992" bottom="0.15748031496062992" header="0" footer="0"/>
  <pageSetup paperSize="9" orientation="landscape" horizontalDpi="4294967293" verticalDpi="4294967293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>
      <pane ySplit="4" topLeftCell="A5" activePane="bottomLeft" state="frozen"/>
      <selection pane="bottomLeft" activeCell="S27" sqref="S27"/>
    </sheetView>
  </sheetViews>
  <sheetFormatPr baseColWidth="10" defaultRowHeight="12"/>
  <cols>
    <col min="1" max="1" width="19.85546875" style="28" customWidth="1"/>
    <col min="2" max="2" width="3" style="29" customWidth="1"/>
    <col min="3" max="3" width="5.28515625" style="29" hidden="1" customWidth="1"/>
    <col min="4" max="4" width="5.140625" style="29" hidden="1" customWidth="1"/>
    <col min="5" max="5" width="4" style="29" hidden="1" customWidth="1"/>
    <col min="6" max="6" width="5.28515625" style="29" hidden="1" customWidth="1"/>
    <col min="7" max="7" width="3.5703125" style="29" hidden="1" customWidth="1"/>
    <col min="8" max="12" width="5.28515625" style="29" hidden="1" customWidth="1"/>
    <col min="13" max="13" width="4.140625" style="30" customWidth="1"/>
    <col min="14" max="14" width="5.140625" style="30" customWidth="1"/>
    <col min="15" max="15" width="4.28515625" style="30" customWidth="1"/>
    <col min="16" max="16" width="4.85546875" style="30" customWidth="1"/>
    <col min="17" max="17" width="4.28515625" style="30" customWidth="1"/>
    <col min="18" max="18" width="3.42578125" style="30" hidden="1" customWidth="1"/>
    <col min="19" max="19" width="4.42578125" style="32" customWidth="1"/>
    <col min="20" max="20" width="7.42578125" style="30" hidden="1" customWidth="1"/>
    <col min="21" max="21" width="11.7109375" style="33" customWidth="1"/>
    <col min="22" max="22" width="2.85546875" style="30" hidden="1" customWidth="1"/>
    <col min="23" max="23" width="4" style="32" customWidth="1"/>
    <col min="24" max="24" width="7.140625" style="30" hidden="1" customWidth="1"/>
    <col min="25" max="25" width="12" style="33" customWidth="1"/>
    <col min="26" max="26" width="4.7109375" style="30" customWidth="1"/>
    <col min="27" max="27" width="4.7109375" style="51" hidden="1" customWidth="1"/>
    <col min="28" max="28" width="8.7109375" style="39" customWidth="1"/>
    <col min="29" max="29" width="3.85546875" style="12" customWidth="1"/>
    <col min="30" max="30" width="7.5703125" style="34" customWidth="1"/>
    <col min="31" max="31" width="42.42578125" style="5" customWidth="1"/>
    <col min="32" max="16384" width="11.42578125" style="12"/>
  </cols>
  <sheetData>
    <row r="1" spans="1:33" ht="22.5" customHeight="1">
      <c r="P1" s="179" t="s">
        <v>170</v>
      </c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33" ht="18.75" customHeight="1">
      <c r="A2" s="45"/>
      <c r="B2" s="7"/>
      <c r="C2" s="23"/>
      <c r="D2" s="23"/>
      <c r="E2" s="23"/>
      <c r="F2" s="23"/>
      <c r="G2" s="23"/>
      <c r="H2" s="23"/>
      <c r="I2" s="23"/>
      <c r="J2" s="23"/>
      <c r="K2" s="23"/>
      <c r="L2" s="23"/>
      <c r="M2" s="46"/>
      <c r="N2" s="46"/>
      <c r="O2" s="46"/>
      <c r="P2" s="46"/>
      <c r="Q2" s="46"/>
      <c r="R2" s="46"/>
      <c r="S2" s="186" t="s">
        <v>56</v>
      </c>
      <c r="T2" s="187"/>
      <c r="U2" s="9"/>
      <c r="V2" s="46"/>
      <c r="W2" s="190" t="s">
        <v>58</v>
      </c>
      <c r="X2" s="191"/>
      <c r="Y2" s="9"/>
      <c r="Z2" s="194" t="s">
        <v>24</v>
      </c>
      <c r="AA2" s="196" t="s">
        <v>141</v>
      </c>
      <c r="AB2" s="198" t="s">
        <v>192</v>
      </c>
      <c r="AC2" s="10"/>
      <c r="AD2" s="11" t="s">
        <v>34</v>
      </c>
      <c r="AE2" s="180" t="s">
        <v>60</v>
      </c>
    </row>
    <row r="3" spans="1:33" ht="15" customHeight="1">
      <c r="A3" s="184" t="s">
        <v>0</v>
      </c>
      <c r="B3" s="7"/>
      <c r="C3" s="57" t="s">
        <v>151</v>
      </c>
      <c r="D3" s="57" t="s">
        <v>152</v>
      </c>
      <c r="E3" s="57" t="s">
        <v>153</v>
      </c>
      <c r="F3" s="57" t="s">
        <v>154</v>
      </c>
      <c r="G3" s="57" t="s">
        <v>155</v>
      </c>
      <c r="H3" s="59" t="s">
        <v>156</v>
      </c>
      <c r="I3" s="57" t="s">
        <v>141</v>
      </c>
      <c r="J3" s="57" t="s">
        <v>157</v>
      </c>
      <c r="K3" s="57" t="s">
        <v>160</v>
      </c>
      <c r="L3" s="61" t="s">
        <v>61</v>
      </c>
      <c r="M3" s="185" t="s">
        <v>47</v>
      </c>
      <c r="N3" s="185" t="s">
        <v>48</v>
      </c>
      <c r="O3" s="185" t="s">
        <v>2</v>
      </c>
      <c r="P3" s="185" t="s">
        <v>3</v>
      </c>
      <c r="Q3" s="13" t="s">
        <v>4</v>
      </c>
      <c r="R3" s="46"/>
      <c r="S3" s="188"/>
      <c r="T3" s="189"/>
      <c r="U3" s="183" t="s">
        <v>1</v>
      </c>
      <c r="V3" s="14"/>
      <c r="W3" s="192"/>
      <c r="X3" s="193"/>
      <c r="Y3" s="183" t="s">
        <v>6</v>
      </c>
      <c r="Z3" s="195"/>
      <c r="AA3" s="197"/>
      <c r="AB3" s="199"/>
      <c r="AC3" s="10"/>
      <c r="AD3" s="201" t="s">
        <v>250</v>
      </c>
      <c r="AE3" s="181"/>
    </row>
    <row r="4" spans="1:33" ht="36">
      <c r="A4" s="184"/>
      <c r="B4" s="7" t="s">
        <v>69</v>
      </c>
      <c r="C4" s="57" t="s">
        <v>151</v>
      </c>
      <c r="D4" s="57" t="s">
        <v>152</v>
      </c>
      <c r="E4" s="57" t="s">
        <v>153</v>
      </c>
      <c r="F4" s="57" t="s">
        <v>154</v>
      </c>
      <c r="G4" s="57" t="s">
        <v>155</v>
      </c>
      <c r="H4" s="59" t="s">
        <v>156</v>
      </c>
      <c r="I4" s="57" t="s">
        <v>141</v>
      </c>
      <c r="J4" s="57" t="s">
        <v>157</v>
      </c>
      <c r="K4" s="57" t="s">
        <v>160</v>
      </c>
      <c r="L4" s="61" t="s">
        <v>61</v>
      </c>
      <c r="M4" s="185"/>
      <c r="N4" s="185"/>
      <c r="O4" s="185"/>
      <c r="P4" s="185"/>
      <c r="Q4" s="13" t="s">
        <v>5</v>
      </c>
      <c r="R4" s="46"/>
      <c r="S4" s="15" t="s">
        <v>57</v>
      </c>
      <c r="T4" s="16" t="s">
        <v>139</v>
      </c>
      <c r="U4" s="183"/>
      <c r="V4" s="14"/>
      <c r="W4" s="14" t="s">
        <v>59</v>
      </c>
      <c r="X4" s="14" t="s">
        <v>140</v>
      </c>
      <c r="Y4" s="183"/>
      <c r="Z4" s="46" t="s">
        <v>61</v>
      </c>
      <c r="AA4" s="48"/>
      <c r="AB4" s="200"/>
      <c r="AC4" s="10" t="s">
        <v>25</v>
      </c>
      <c r="AD4" s="202"/>
      <c r="AE4" s="182"/>
    </row>
    <row r="5" spans="1:33" ht="47.25" customHeight="1">
      <c r="A5" s="45" t="s">
        <v>35</v>
      </c>
      <c r="B5" s="7">
        <v>1</v>
      </c>
      <c r="C5" s="57">
        <v>0</v>
      </c>
      <c r="D5" s="57">
        <v>43</v>
      </c>
      <c r="E5" s="57">
        <f>D5-C5</f>
        <v>43</v>
      </c>
      <c r="F5" s="57">
        <f>E5*1.609344</f>
        <v>69.201792000000012</v>
      </c>
      <c r="G5" s="57"/>
      <c r="H5" s="59">
        <f>F5+G5</f>
        <v>69.201792000000012</v>
      </c>
      <c r="I5" s="57">
        <f>H5</f>
        <v>69.201792000000012</v>
      </c>
      <c r="J5" s="57">
        <v>4.25</v>
      </c>
      <c r="K5" s="57">
        <f>(N5/300)*2</f>
        <v>11.32</v>
      </c>
      <c r="L5" s="61">
        <f>(H5+K5)/(J5*8)</f>
        <v>2.3682880000000002</v>
      </c>
      <c r="M5" s="17">
        <v>68.099999999999994</v>
      </c>
      <c r="N5" s="17">
        <v>1698</v>
      </c>
      <c r="O5" s="46">
        <v>28.9</v>
      </c>
      <c r="P5" s="46">
        <v>720</v>
      </c>
      <c r="Q5" s="13">
        <v>2.4</v>
      </c>
      <c r="R5" s="46">
        <f>WEEKDAY(U5)</f>
        <v>4</v>
      </c>
      <c r="S5" s="15" t="str">
        <f>VLOOKUP(R5,'alim continu'!$A$6:$B$12,2)</f>
        <v>Me</v>
      </c>
      <c r="T5" s="18">
        <f>U5</f>
        <v>42459</v>
      </c>
      <c r="U5" s="52">
        <v>42459</v>
      </c>
      <c r="V5" s="46">
        <f>WEEKDAY(Y5)</f>
        <v>6</v>
      </c>
      <c r="W5" s="19" t="str">
        <f>VLOOKUP(V5,'alim continu'!$A$6:$B$12,2)</f>
        <v>Ve</v>
      </c>
      <c r="X5" s="20">
        <f>Y5</f>
        <v>42461.4</v>
      </c>
      <c r="Y5" s="52">
        <f t="shared" ref="Y5:Y32" si="0">U5+Q5</f>
        <v>42461.4</v>
      </c>
      <c r="Z5" s="19">
        <v>0.6</v>
      </c>
      <c r="AA5" s="49">
        <f>Q5+Z5</f>
        <v>3</v>
      </c>
      <c r="AB5" s="38"/>
      <c r="AC5" s="22"/>
      <c r="AD5" s="11" t="s">
        <v>36</v>
      </c>
      <c r="AE5" s="74" t="s">
        <v>208</v>
      </c>
    </row>
    <row r="6" spans="1:33" ht="51" customHeight="1">
      <c r="A6" s="45" t="s">
        <v>101</v>
      </c>
      <c r="B6" s="7">
        <v>2</v>
      </c>
      <c r="C6" s="57">
        <f>D5</f>
        <v>43</v>
      </c>
      <c r="D6" s="57">
        <v>110</v>
      </c>
      <c r="E6" s="57">
        <f>IF(D6-C6&lt;0,0,D6-C6)</f>
        <v>67</v>
      </c>
      <c r="F6" s="57">
        <f t="shared" ref="F6:F30" si="1">E6*1.609344</f>
        <v>107.82604800000001</v>
      </c>
      <c r="G6" s="57">
        <v>1</v>
      </c>
      <c r="H6" s="59">
        <f t="shared" ref="H6:H30" si="2">F6+G6</f>
        <v>108.82604800000001</v>
      </c>
      <c r="I6" s="57">
        <f>I5+H6</f>
        <v>178.02784000000003</v>
      </c>
      <c r="J6" s="57">
        <f>J5</f>
        <v>4.25</v>
      </c>
      <c r="K6" s="57">
        <f t="shared" ref="K6:K30" si="3">(N6/300)*2</f>
        <v>1.2466666666666668E-2</v>
      </c>
      <c r="L6" s="61">
        <f t="shared" ref="L6:L30" si="4">(H6+K6)/(J6*8)</f>
        <v>3.2011327843137258</v>
      </c>
      <c r="M6" s="17">
        <v>112.3</v>
      </c>
      <c r="N6" s="17">
        <v>1.87</v>
      </c>
      <c r="O6" s="46">
        <v>31.8</v>
      </c>
      <c r="P6" s="46">
        <v>308</v>
      </c>
      <c r="Q6" s="13">
        <v>3.5</v>
      </c>
      <c r="R6" s="46">
        <f t="shared" ref="R6:R32" si="5">WEEKDAY(U6)</f>
        <v>7</v>
      </c>
      <c r="S6" s="15" t="str">
        <f>VLOOKUP(R6,'alim continu'!$A$6:$B$12,2)</f>
        <v>Sa</v>
      </c>
      <c r="T6" s="18">
        <f t="shared" ref="T6:T32" si="6">U6</f>
        <v>42462</v>
      </c>
      <c r="U6" s="52">
        <f t="shared" ref="U6:U29" si="7">Y5+Z5</f>
        <v>42462</v>
      </c>
      <c r="V6" s="46">
        <f t="shared" ref="V6:V32" si="8">WEEKDAY(Y6)</f>
        <v>3</v>
      </c>
      <c r="W6" s="19" t="str">
        <f>VLOOKUP(V6,'alim continu'!$A$6:$B$12,2)</f>
        <v>Ma</v>
      </c>
      <c r="X6" s="20">
        <f t="shared" ref="X6:X32" si="9">Y6</f>
        <v>42465.5</v>
      </c>
      <c r="Y6" s="52">
        <f t="shared" si="0"/>
        <v>42465.5</v>
      </c>
      <c r="Z6" s="19">
        <v>0</v>
      </c>
      <c r="AA6" s="49">
        <f>AA5+Q6+Z6</f>
        <v>6.5</v>
      </c>
      <c r="AB6" s="35" t="s">
        <v>62</v>
      </c>
      <c r="AC6" s="22"/>
      <c r="AD6" s="11" t="s">
        <v>37</v>
      </c>
      <c r="AE6" s="1" t="s">
        <v>191</v>
      </c>
    </row>
    <row r="7" spans="1:33" ht="37.5" customHeight="1">
      <c r="A7" s="45" t="s">
        <v>102</v>
      </c>
      <c r="B7" s="7">
        <v>3</v>
      </c>
      <c r="C7" s="57">
        <f t="shared" ref="C7:C29" si="10">D6</f>
        <v>110</v>
      </c>
      <c r="D7" s="57">
        <v>152</v>
      </c>
      <c r="E7" s="57">
        <f t="shared" ref="E7:E30" si="11">IF(D7-C7&lt;0,0,D7-C7)</f>
        <v>42</v>
      </c>
      <c r="F7" s="57">
        <f t="shared" si="1"/>
        <v>67.592448000000005</v>
      </c>
      <c r="G7" s="57">
        <v>0</v>
      </c>
      <c r="H7" s="59">
        <f t="shared" si="2"/>
        <v>67.592448000000005</v>
      </c>
      <c r="I7" s="57">
        <f t="shared" ref="I7:I29" si="12">I6+H7</f>
        <v>245.62028800000002</v>
      </c>
      <c r="J7" s="57">
        <f t="shared" ref="J7:J15" si="13">J6</f>
        <v>4.25</v>
      </c>
      <c r="K7" s="57">
        <f t="shared" si="3"/>
        <v>10.026666666666667</v>
      </c>
      <c r="L7" s="61">
        <f t="shared" si="4"/>
        <v>2.2829151372549021</v>
      </c>
      <c r="M7" s="17">
        <v>70.099999999999994</v>
      </c>
      <c r="N7" s="17">
        <v>1504</v>
      </c>
      <c r="O7" s="46">
        <v>29.5</v>
      </c>
      <c r="P7" s="46">
        <v>633</v>
      </c>
      <c r="Q7" s="13">
        <v>2.4</v>
      </c>
      <c r="R7" s="46">
        <f t="shared" si="5"/>
        <v>3</v>
      </c>
      <c r="S7" s="15" t="str">
        <f>VLOOKUP(R7,'alim continu'!$A$6:$B$12,2)</f>
        <v>Ma</v>
      </c>
      <c r="T7" s="18">
        <f t="shared" si="6"/>
        <v>42465.5</v>
      </c>
      <c r="U7" s="52">
        <f t="shared" si="7"/>
        <v>42465.5</v>
      </c>
      <c r="V7" s="46">
        <f t="shared" si="8"/>
        <v>5</v>
      </c>
      <c r="W7" s="19" t="str">
        <f>VLOOKUP(V7,'alim continu'!$A$6:$B$12,2)</f>
        <v>Je</v>
      </c>
      <c r="X7" s="20">
        <f t="shared" si="9"/>
        <v>42467.9</v>
      </c>
      <c r="Y7" s="52">
        <f t="shared" si="0"/>
        <v>42467.9</v>
      </c>
      <c r="Z7" s="19">
        <v>0.1</v>
      </c>
      <c r="AA7" s="49">
        <f t="shared" ref="AA7:AA15" si="14">AA6+Q7+Z7</f>
        <v>9</v>
      </c>
      <c r="AB7" s="35"/>
      <c r="AC7" s="22"/>
      <c r="AD7" s="11" t="s">
        <v>39</v>
      </c>
      <c r="AE7" s="2" t="s">
        <v>200</v>
      </c>
    </row>
    <row r="8" spans="1:33" ht="39.75" customHeight="1">
      <c r="A8" s="23" t="s">
        <v>103</v>
      </c>
      <c r="B8" s="7">
        <v>4</v>
      </c>
      <c r="C8" s="57">
        <f t="shared" si="10"/>
        <v>152</v>
      </c>
      <c r="D8" s="57">
        <v>180</v>
      </c>
      <c r="E8" s="57">
        <f t="shared" si="11"/>
        <v>28</v>
      </c>
      <c r="F8" s="57">
        <f t="shared" si="1"/>
        <v>45.061632000000003</v>
      </c>
      <c r="G8" s="57"/>
      <c r="H8" s="59">
        <f t="shared" si="2"/>
        <v>45.061632000000003</v>
      </c>
      <c r="I8" s="57">
        <f t="shared" si="12"/>
        <v>290.68191999999999</v>
      </c>
      <c r="J8" s="57">
        <f t="shared" si="13"/>
        <v>4.25</v>
      </c>
      <c r="K8" s="57">
        <f t="shared" si="3"/>
        <v>10.72</v>
      </c>
      <c r="L8" s="61">
        <f t="shared" si="4"/>
        <v>1.6406362352941177</v>
      </c>
      <c r="M8" s="17">
        <v>50</v>
      </c>
      <c r="N8" s="17">
        <v>1608</v>
      </c>
      <c r="O8" s="46">
        <v>27.7</v>
      </c>
      <c r="P8" s="46">
        <v>891</v>
      </c>
      <c r="Q8" s="13">
        <v>0.99</v>
      </c>
      <c r="R8" s="46">
        <f t="shared" si="5"/>
        <v>6</v>
      </c>
      <c r="S8" s="15" t="str">
        <f>VLOOKUP(R8,'alim continu'!$A$6:$B$12,2)</f>
        <v>Ve</v>
      </c>
      <c r="T8" s="18">
        <f t="shared" si="6"/>
        <v>42468</v>
      </c>
      <c r="U8" s="52">
        <f t="shared" si="7"/>
        <v>42468</v>
      </c>
      <c r="V8" s="46">
        <f t="shared" si="8"/>
        <v>6</v>
      </c>
      <c r="W8" s="19" t="str">
        <f>VLOOKUP(V8,'alim continu'!$A$6:$B$12,2)</f>
        <v>Ve</v>
      </c>
      <c r="X8" s="20">
        <f t="shared" si="9"/>
        <v>42468.99</v>
      </c>
      <c r="Y8" s="52">
        <f t="shared" si="0"/>
        <v>42468.99</v>
      </c>
      <c r="Z8" s="19">
        <v>1.1000000000000001</v>
      </c>
      <c r="AA8" s="49">
        <f t="shared" si="14"/>
        <v>11.09</v>
      </c>
      <c r="AB8" s="72" t="s">
        <v>196</v>
      </c>
      <c r="AC8" s="22">
        <f>Q5+Q6+Q7+Q8</f>
        <v>9.2900000000000009</v>
      </c>
      <c r="AD8" s="11" t="s">
        <v>38</v>
      </c>
      <c r="AE8" s="1" t="s">
        <v>197</v>
      </c>
    </row>
    <row r="9" spans="1:33" ht="48.75" customHeight="1">
      <c r="A9" s="45" t="s">
        <v>104</v>
      </c>
      <c r="B9" s="7">
        <v>5</v>
      </c>
      <c r="C9" s="57">
        <f t="shared" si="10"/>
        <v>180</v>
      </c>
      <c r="D9" s="57">
        <v>211</v>
      </c>
      <c r="E9" s="57">
        <f t="shared" si="11"/>
        <v>31</v>
      </c>
      <c r="F9" s="57">
        <f t="shared" si="1"/>
        <v>49.889664000000003</v>
      </c>
      <c r="G9" s="57"/>
      <c r="H9" s="59">
        <f t="shared" si="2"/>
        <v>49.889664000000003</v>
      </c>
      <c r="I9" s="57">
        <f t="shared" si="12"/>
        <v>340.57158399999997</v>
      </c>
      <c r="J9" s="57">
        <f t="shared" si="13"/>
        <v>4.25</v>
      </c>
      <c r="K9" s="57">
        <f t="shared" si="3"/>
        <v>4.4533333333333331</v>
      </c>
      <c r="L9" s="61">
        <f t="shared" si="4"/>
        <v>1.5983234509803923</v>
      </c>
      <c r="M9" s="17">
        <v>58.3</v>
      </c>
      <c r="N9" s="17">
        <v>668</v>
      </c>
      <c r="O9" s="46">
        <v>31.4</v>
      </c>
      <c r="P9" s="46">
        <v>360</v>
      </c>
      <c r="Q9" s="13">
        <v>1.9</v>
      </c>
      <c r="R9" s="46">
        <f t="shared" si="5"/>
        <v>1</v>
      </c>
      <c r="S9" s="15" t="str">
        <f>VLOOKUP(R9,'alim continu'!$A$6:$B$12,2)</f>
        <v>Di</v>
      </c>
      <c r="T9" s="18">
        <f t="shared" si="6"/>
        <v>42470.09</v>
      </c>
      <c r="U9" s="52">
        <f t="shared" si="7"/>
        <v>42470.09</v>
      </c>
      <c r="V9" s="46">
        <f t="shared" si="8"/>
        <v>2</v>
      </c>
      <c r="W9" s="19" t="str">
        <f>VLOOKUP(V9,'alim continu'!$A$6:$B$12,2)</f>
        <v>Lu</v>
      </c>
      <c r="X9" s="20">
        <f t="shared" si="9"/>
        <v>42471.99</v>
      </c>
      <c r="Y9" s="52">
        <f t="shared" si="0"/>
        <v>42471.99</v>
      </c>
      <c r="Z9" s="19">
        <v>0.1</v>
      </c>
      <c r="AA9" s="49">
        <f t="shared" si="14"/>
        <v>13.09</v>
      </c>
      <c r="AB9" s="38" t="s">
        <v>194</v>
      </c>
      <c r="AC9" s="21"/>
      <c r="AD9" s="11" t="s">
        <v>40</v>
      </c>
      <c r="AE9" s="1" t="s">
        <v>202</v>
      </c>
    </row>
    <row r="10" spans="1:33" ht="59.25" customHeight="1">
      <c r="A10" s="23" t="s">
        <v>105</v>
      </c>
      <c r="B10" s="7">
        <v>6</v>
      </c>
      <c r="C10" s="57">
        <f t="shared" si="10"/>
        <v>211</v>
      </c>
      <c r="D10" s="57">
        <v>266</v>
      </c>
      <c r="E10" s="57">
        <f t="shared" si="11"/>
        <v>55</v>
      </c>
      <c r="F10" s="57">
        <f t="shared" si="1"/>
        <v>88.513920000000013</v>
      </c>
      <c r="G10" s="57"/>
      <c r="H10" s="59">
        <f t="shared" si="2"/>
        <v>88.513920000000013</v>
      </c>
      <c r="I10" s="57">
        <f t="shared" si="12"/>
        <v>429.08550400000001</v>
      </c>
      <c r="J10" s="57">
        <f t="shared" si="13"/>
        <v>4.25</v>
      </c>
      <c r="K10" s="57">
        <f t="shared" si="3"/>
        <v>20.56</v>
      </c>
      <c r="L10" s="61">
        <f t="shared" si="4"/>
        <v>3.208056470588236</v>
      </c>
      <c r="M10" s="17">
        <v>101.4</v>
      </c>
      <c r="N10" s="17">
        <v>3084</v>
      </c>
      <c r="O10" s="46">
        <v>28</v>
      </c>
      <c r="P10" s="46">
        <v>851</v>
      </c>
      <c r="Q10" s="13">
        <v>0.9</v>
      </c>
      <c r="R10" s="46">
        <f t="shared" si="5"/>
        <v>3</v>
      </c>
      <c r="S10" s="15" t="str">
        <f>VLOOKUP(R10,'alim continu'!$A$6:$B$12,2)</f>
        <v>Ma</v>
      </c>
      <c r="T10" s="18">
        <f t="shared" si="6"/>
        <v>42472.09</v>
      </c>
      <c r="U10" s="52">
        <f t="shared" si="7"/>
        <v>42472.09</v>
      </c>
      <c r="V10" s="46">
        <f t="shared" si="8"/>
        <v>3</v>
      </c>
      <c r="W10" s="19" t="str">
        <f>VLOOKUP(V10,'alim continu'!$A$6:$B$12,2)</f>
        <v>Ma</v>
      </c>
      <c r="X10" s="20">
        <f t="shared" si="9"/>
        <v>42472.99</v>
      </c>
      <c r="Y10" s="52">
        <f t="shared" si="0"/>
        <v>42472.99</v>
      </c>
      <c r="Z10" s="19">
        <v>1.1000000000000001</v>
      </c>
      <c r="AA10" s="49">
        <f t="shared" si="14"/>
        <v>15.09</v>
      </c>
      <c r="AB10" s="36" t="s">
        <v>195</v>
      </c>
      <c r="AC10" s="21"/>
      <c r="AD10" s="11" t="s">
        <v>41</v>
      </c>
      <c r="AE10" s="1" t="s">
        <v>201</v>
      </c>
    </row>
    <row r="11" spans="1:33" ht="39.75" customHeight="1">
      <c r="A11" s="45" t="s">
        <v>106</v>
      </c>
      <c r="B11" s="7">
        <v>7</v>
      </c>
      <c r="C11" s="57">
        <f t="shared" si="10"/>
        <v>266</v>
      </c>
      <c r="D11" s="57">
        <v>370</v>
      </c>
      <c r="E11" s="57">
        <f t="shared" si="11"/>
        <v>104</v>
      </c>
      <c r="F11" s="57">
        <f t="shared" si="1"/>
        <v>167.37177600000001</v>
      </c>
      <c r="G11" s="57"/>
      <c r="H11" s="59">
        <f t="shared" si="2"/>
        <v>167.37177600000001</v>
      </c>
      <c r="I11" s="57">
        <f t="shared" si="12"/>
        <v>596.45728000000008</v>
      </c>
      <c r="J11" s="57">
        <f t="shared" si="13"/>
        <v>4.25</v>
      </c>
      <c r="K11" s="57">
        <f t="shared" si="3"/>
        <v>16.440000000000001</v>
      </c>
      <c r="L11" s="61">
        <f t="shared" si="4"/>
        <v>5.406228705882353</v>
      </c>
      <c r="M11" s="17">
        <v>150.1</v>
      </c>
      <c r="N11" s="17">
        <v>2466</v>
      </c>
      <c r="O11" s="46">
        <v>30.5</v>
      </c>
      <c r="P11" s="46">
        <v>500</v>
      </c>
      <c r="Q11" s="13">
        <v>4.9000000000000004</v>
      </c>
      <c r="R11" s="46">
        <f t="shared" si="5"/>
        <v>5</v>
      </c>
      <c r="S11" s="15" t="str">
        <f>VLOOKUP(R11,'alim continu'!$A$6:$B$12,2)</f>
        <v>Je</v>
      </c>
      <c r="T11" s="18">
        <f t="shared" si="6"/>
        <v>42474.09</v>
      </c>
      <c r="U11" s="52">
        <f t="shared" si="7"/>
        <v>42474.09</v>
      </c>
      <c r="V11" s="46">
        <f t="shared" si="8"/>
        <v>2</v>
      </c>
      <c r="W11" s="19" t="str">
        <f>VLOOKUP(V11,'alim continu'!$A$6:$B$12,2)</f>
        <v>Lu</v>
      </c>
      <c r="X11" s="20">
        <f t="shared" si="9"/>
        <v>42478.99</v>
      </c>
      <c r="Y11" s="52">
        <f t="shared" si="0"/>
        <v>42478.99</v>
      </c>
      <c r="Z11" s="19">
        <v>1.1000000000000001</v>
      </c>
      <c r="AA11" s="49">
        <f t="shared" si="14"/>
        <v>21.090000000000003</v>
      </c>
      <c r="AB11" s="36" t="s">
        <v>198</v>
      </c>
      <c r="AC11" s="21">
        <f>Q9+Q10+Q11</f>
        <v>7.7</v>
      </c>
      <c r="AD11" s="11" t="s">
        <v>42</v>
      </c>
      <c r="AE11" s="1" t="s">
        <v>199</v>
      </c>
    </row>
    <row r="12" spans="1:33" ht="30.75" customHeight="1">
      <c r="A12" s="45" t="s">
        <v>7</v>
      </c>
      <c r="B12" s="7">
        <v>8</v>
      </c>
      <c r="C12" s="57">
        <f t="shared" si="10"/>
        <v>370</v>
      </c>
      <c r="D12" s="57">
        <v>455</v>
      </c>
      <c r="E12" s="57">
        <f t="shared" si="11"/>
        <v>85</v>
      </c>
      <c r="F12" s="57">
        <f t="shared" si="1"/>
        <v>136.79424</v>
      </c>
      <c r="G12" s="57"/>
      <c r="H12" s="59">
        <f t="shared" si="2"/>
        <v>136.79424</v>
      </c>
      <c r="I12" s="57">
        <f t="shared" si="12"/>
        <v>733.25152000000003</v>
      </c>
      <c r="J12" s="57">
        <f t="shared" si="13"/>
        <v>4.25</v>
      </c>
      <c r="K12" s="57">
        <f t="shared" si="3"/>
        <v>21.5</v>
      </c>
      <c r="L12" s="61">
        <f t="shared" si="4"/>
        <v>4.6557129411764704</v>
      </c>
      <c r="M12" s="17">
        <v>146.19999999999999</v>
      </c>
      <c r="N12" s="17">
        <v>3225</v>
      </c>
      <c r="O12" s="46">
        <v>29.6</v>
      </c>
      <c r="P12" s="46">
        <v>651</v>
      </c>
      <c r="Q12" s="13">
        <v>4.9000000000000004</v>
      </c>
      <c r="R12" s="46">
        <f t="shared" si="5"/>
        <v>4</v>
      </c>
      <c r="S12" s="15" t="str">
        <f>VLOOKUP(R12,'alim continu'!$A$6:$B$12,2)</f>
        <v>Me</v>
      </c>
      <c r="T12" s="18">
        <f t="shared" si="6"/>
        <v>42480.09</v>
      </c>
      <c r="U12" s="52">
        <f t="shared" si="7"/>
        <v>42480.09</v>
      </c>
      <c r="V12" s="46">
        <f t="shared" si="8"/>
        <v>1</v>
      </c>
      <c r="W12" s="19" t="str">
        <f>VLOOKUP(V12,'alim continu'!$A$6:$B$12,2)</f>
        <v>Di</v>
      </c>
      <c r="X12" s="20">
        <f t="shared" si="9"/>
        <v>42484.99</v>
      </c>
      <c r="Y12" s="52">
        <f t="shared" si="0"/>
        <v>42484.99</v>
      </c>
      <c r="Z12" s="19">
        <v>1.1000000000000001</v>
      </c>
      <c r="AA12" s="49">
        <f t="shared" si="14"/>
        <v>27.090000000000003</v>
      </c>
      <c r="AB12" s="36" t="s">
        <v>30</v>
      </c>
      <c r="AC12" s="21">
        <f>Q12</f>
        <v>4.9000000000000004</v>
      </c>
      <c r="AD12" s="11" t="s">
        <v>43</v>
      </c>
      <c r="AE12" s="1" t="s">
        <v>203</v>
      </c>
    </row>
    <row r="13" spans="1:33" ht="29.25" customHeight="1">
      <c r="A13" s="47" t="s">
        <v>265</v>
      </c>
      <c r="B13" s="7">
        <v>9</v>
      </c>
      <c r="C13" s="57">
        <f t="shared" si="10"/>
        <v>455</v>
      </c>
      <c r="D13" s="57">
        <v>558</v>
      </c>
      <c r="E13" s="57">
        <f t="shared" si="11"/>
        <v>103</v>
      </c>
      <c r="F13" s="57">
        <f t="shared" si="1"/>
        <v>165.76243200000002</v>
      </c>
      <c r="G13" s="57"/>
      <c r="H13" s="59">
        <f t="shared" si="2"/>
        <v>165.76243200000002</v>
      </c>
      <c r="I13" s="57">
        <f t="shared" si="12"/>
        <v>899.01395200000002</v>
      </c>
      <c r="J13" s="57">
        <f t="shared" si="13"/>
        <v>4.25</v>
      </c>
      <c r="K13" s="57">
        <f t="shared" si="3"/>
        <v>23.22</v>
      </c>
      <c r="L13" s="61">
        <f t="shared" si="4"/>
        <v>5.5583068235294126</v>
      </c>
      <c r="M13" s="17">
        <v>167.3</v>
      </c>
      <c r="N13" s="17">
        <v>3483</v>
      </c>
      <c r="O13" s="46">
        <v>29.6</v>
      </c>
      <c r="P13" s="46">
        <v>617</v>
      </c>
      <c r="Q13" s="13">
        <v>5.6</v>
      </c>
      <c r="R13" s="46">
        <f t="shared" si="5"/>
        <v>3</v>
      </c>
      <c r="S13" s="15" t="str">
        <f>VLOOKUP(R13,'alim continu'!$A$6:$B$12,2)</f>
        <v>Ma</v>
      </c>
      <c r="T13" s="18">
        <f t="shared" si="6"/>
        <v>42486.09</v>
      </c>
      <c r="U13" s="52">
        <f t="shared" si="7"/>
        <v>42486.09</v>
      </c>
      <c r="V13" s="46">
        <f t="shared" si="8"/>
        <v>1</v>
      </c>
      <c r="W13" s="19" t="str">
        <f>VLOOKUP(V13,'alim continu'!$A$6:$B$12,2)</f>
        <v>Di</v>
      </c>
      <c r="X13" s="20">
        <f t="shared" si="9"/>
        <v>42491.689999999995</v>
      </c>
      <c r="Y13" s="52">
        <f t="shared" si="0"/>
        <v>42491.689999999995</v>
      </c>
      <c r="Z13" s="19">
        <v>2.4</v>
      </c>
      <c r="AA13" s="49">
        <f t="shared" si="14"/>
        <v>35.090000000000003</v>
      </c>
      <c r="AB13" s="38" t="s">
        <v>198</v>
      </c>
      <c r="AC13" s="22">
        <f>Q13</f>
        <v>5.6</v>
      </c>
      <c r="AD13" s="11" t="s">
        <v>44</v>
      </c>
      <c r="AE13" s="1" t="s">
        <v>133</v>
      </c>
    </row>
    <row r="14" spans="1:33" ht="83.25" customHeight="1">
      <c r="A14" s="45" t="s">
        <v>136</v>
      </c>
      <c r="B14" s="7">
        <v>10</v>
      </c>
      <c r="C14" s="57">
        <f t="shared" si="10"/>
        <v>558</v>
      </c>
      <c r="D14" s="57">
        <v>652</v>
      </c>
      <c r="E14" s="57">
        <f t="shared" si="11"/>
        <v>94</v>
      </c>
      <c r="F14" s="57">
        <f t="shared" si="1"/>
        <v>151.27833600000002</v>
      </c>
      <c r="G14" s="57"/>
      <c r="H14" s="59">
        <f t="shared" si="2"/>
        <v>151.27833600000002</v>
      </c>
      <c r="I14" s="57">
        <f t="shared" si="12"/>
        <v>1050.2922880000001</v>
      </c>
      <c r="J14" s="57">
        <f t="shared" si="13"/>
        <v>4.25</v>
      </c>
      <c r="K14" s="57">
        <f t="shared" si="3"/>
        <v>18.373333333333335</v>
      </c>
      <c r="L14" s="61">
        <f t="shared" si="4"/>
        <v>4.9897549803921573</v>
      </c>
      <c r="M14" s="17">
        <v>150.9</v>
      </c>
      <c r="N14" s="17">
        <v>2756</v>
      </c>
      <c r="O14" s="46">
        <v>30.1</v>
      </c>
      <c r="P14" s="46">
        <v>550</v>
      </c>
      <c r="Q14" s="13">
        <v>4.9000000000000004</v>
      </c>
      <c r="R14" s="46">
        <f t="shared" si="5"/>
        <v>4</v>
      </c>
      <c r="S14" s="15" t="str">
        <f>VLOOKUP(R14,'alim continu'!$A$6:$B$12,2)</f>
        <v>Me</v>
      </c>
      <c r="T14" s="18">
        <f t="shared" si="6"/>
        <v>42494.09</v>
      </c>
      <c r="U14" s="52">
        <f t="shared" si="7"/>
        <v>42494.09</v>
      </c>
      <c r="V14" s="46">
        <f t="shared" si="8"/>
        <v>1</v>
      </c>
      <c r="W14" s="19" t="str">
        <f>VLOOKUP(V14,'alim continu'!$A$6:$B$12,2)</f>
        <v>Di</v>
      </c>
      <c r="X14" s="20">
        <f t="shared" si="9"/>
        <v>42498.99</v>
      </c>
      <c r="Y14" s="52">
        <f t="shared" si="0"/>
        <v>42498.99</v>
      </c>
      <c r="Z14" s="19">
        <v>1.1000000000000001</v>
      </c>
      <c r="AA14" s="49">
        <f t="shared" si="14"/>
        <v>41.09</v>
      </c>
      <c r="AB14" s="38" t="s">
        <v>138</v>
      </c>
      <c r="AC14" s="21"/>
      <c r="AD14" s="11" t="s">
        <v>45</v>
      </c>
      <c r="AE14" s="62" t="s">
        <v>271</v>
      </c>
    </row>
    <row r="15" spans="1:33" ht="39" customHeight="1">
      <c r="A15" s="24" t="s">
        <v>137</v>
      </c>
      <c r="B15" s="24">
        <v>11</v>
      </c>
      <c r="C15" s="57">
        <f t="shared" si="10"/>
        <v>652</v>
      </c>
      <c r="D15" s="57">
        <v>700</v>
      </c>
      <c r="E15" s="57">
        <f t="shared" si="11"/>
        <v>48</v>
      </c>
      <c r="F15" s="57">
        <f t="shared" si="1"/>
        <v>77.248512000000005</v>
      </c>
      <c r="G15" s="57"/>
      <c r="H15" s="59">
        <f t="shared" si="2"/>
        <v>77.248512000000005</v>
      </c>
      <c r="I15" s="57">
        <f t="shared" si="12"/>
        <v>1127.5408000000002</v>
      </c>
      <c r="J15" s="57">
        <f t="shared" si="13"/>
        <v>4.25</v>
      </c>
      <c r="K15" s="57">
        <f t="shared" si="3"/>
        <v>14.16</v>
      </c>
      <c r="L15" s="61">
        <f t="shared" si="4"/>
        <v>2.6884856470588234</v>
      </c>
      <c r="M15" s="17">
        <v>81.8</v>
      </c>
      <c r="N15" s="17">
        <v>2124</v>
      </c>
      <c r="O15" s="46">
        <v>28.7</v>
      </c>
      <c r="P15" s="46">
        <v>746</v>
      </c>
      <c r="Q15" s="13">
        <v>2.8</v>
      </c>
      <c r="R15" s="46">
        <f t="shared" si="5"/>
        <v>3</v>
      </c>
      <c r="S15" s="15" t="str">
        <f>VLOOKUP(R15,'alim continu'!$A$6:$B$12,2)</f>
        <v>Ma</v>
      </c>
      <c r="T15" s="18">
        <f t="shared" si="6"/>
        <v>42500.09</v>
      </c>
      <c r="U15" s="52">
        <f t="shared" si="7"/>
        <v>42500.09</v>
      </c>
      <c r="V15" s="46">
        <f t="shared" si="8"/>
        <v>5</v>
      </c>
      <c r="W15" s="19" t="str">
        <f>VLOOKUP(V15,'alim continu'!$A$6:$B$12,2)</f>
        <v>Je</v>
      </c>
      <c r="X15" s="20">
        <f t="shared" si="9"/>
        <v>42502.89</v>
      </c>
      <c r="Y15" s="52">
        <f t="shared" si="0"/>
        <v>42502.89</v>
      </c>
      <c r="Z15" s="19">
        <v>4.2</v>
      </c>
      <c r="AA15" s="49">
        <f t="shared" si="14"/>
        <v>48.09</v>
      </c>
      <c r="AB15" s="35" t="s">
        <v>63</v>
      </c>
      <c r="AC15" s="21">
        <f>Q14+Q15</f>
        <v>7.7</v>
      </c>
      <c r="AD15" s="11" t="s">
        <v>46</v>
      </c>
      <c r="AE15" s="1" t="s">
        <v>204</v>
      </c>
    </row>
    <row r="16" spans="1:33" ht="123.75" customHeight="1">
      <c r="A16" s="24" t="s">
        <v>225</v>
      </c>
      <c r="B16" s="24">
        <v>12</v>
      </c>
      <c r="C16" s="57">
        <f>D15</f>
        <v>700</v>
      </c>
      <c r="D16" s="57">
        <v>745</v>
      </c>
      <c r="E16" s="57">
        <f t="shared" si="11"/>
        <v>45</v>
      </c>
      <c r="F16" s="57">
        <f>E16*1.609344</f>
        <v>72.420479999999998</v>
      </c>
      <c r="G16" s="57">
        <v>25</v>
      </c>
      <c r="H16" s="59">
        <f>F16+G16</f>
        <v>97.420479999999998</v>
      </c>
      <c r="I16" s="57">
        <f>I30+H16</f>
        <v>3223.766528000001</v>
      </c>
      <c r="J16" s="57">
        <v>4.3</v>
      </c>
      <c r="K16" s="57">
        <f>(N16/300)*2</f>
        <v>6.16</v>
      </c>
      <c r="L16" s="61">
        <f>(H16+K16)/(J16*8)</f>
        <v>3.0110604651162789</v>
      </c>
      <c r="M16" s="17">
        <f>H16</f>
        <v>97.420479999999998</v>
      </c>
      <c r="N16" s="17">
        <v>924</v>
      </c>
      <c r="O16" s="46">
        <v>31</v>
      </c>
      <c r="P16" s="46">
        <v>424</v>
      </c>
      <c r="Q16" s="13">
        <v>2.9</v>
      </c>
      <c r="R16" s="46">
        <f t="shared" ref="R16" si="15">WEEKDAY(U16)</f>
        <v>3</v>
      </c>
      <c r="S16" s="15" t="str">
        <f>VLOOKUP(R16,'alim continu'!$A$6:$B$12,2)</f>
        <v>Ma</v>
      </c>
      <c r="T16" s="18">
        <f t="shared" ref="T16:T17" si="16">U16</f>
        <v>42507.09</v>
      </c>
      <c r="U16" s="52">
        <f t="shared" ref="U16:U17" si="17">Y15+Z15</f>
        <v>42507.09</v>
      </c>
      <c r="V16" s="68">
        <f t="shared" ref="V16:V17" si="18">WEEKDAY(Y16)</f>
        <v>5</v>
      </c>
      <c r="W16" s="19" t="str">
        <f>VLOOKUP(V16,'alim continu'!$A$6:$B$12,2)</f>
        <v>Je</v>
      </c>
      <c r="X16" s="20">
        <f t="shared" ref="X16:X17" si="19">Y16</f>
        <v>42509.99</v>
      </c>
      <c r="Y16" s="52">
        <f t="shared" ref="Y16:Y17" si="20">U16+Q16</f>
        <v>42509.99</v>
      </c>
      <c r="Z16" s="19">
        <v>3.2</v>
      </c>
      <c r="AA16" s="49">
        <f>AA30+Q16+Z16</f>
        <v>6.1</v>
      </c>
      <c r="AB16" s="35"/>
      <c r="AC16" s="77">
        <f>Q16</f>
        <v>2.9</v>
      </c>
      <c r="AD16" s="11" t="s">
        <v>64</v>
      </c>
      <c r="AE16" s="62" t="s">
        <v>273</v>
      </c>
      <c r="AG16" s="75"/>
    </row>
    <row r="17" spans="1:31" ht="54.75" customHeight="1">
      <c r="A17" s="24" t="s">
        <v>84</v>
      </c>
      <c r="B17" s="24">
        <v>23</v>
      </c>
      <c r="C17" s="57">
        <f>'PCT continu'!C27</f>
        <v>1417</v>
      </c>
      <c r="D17" s="57">
        <v>1499</v>
      </c>
      <c r="E17" s="57">
        <f t="shared" si="11"/>
        <v>82</v>
      </c>
      <c r="F17" s="57">
        <f t="shared" si="1"/>
        <v>131.96620799999999</v>
      </c>
      <c r="G17" s="57"/>
      <c r="H17" s="59">
        <f t="shared" si="2"/>
        <v>131.96620799999999</v>
      </c>
      <c r="I17" s="57">
        <f>I15+H17</f>
        <v>1259.5070080000003</v>
      </c>
      <c r="J17" s="57">
        <v>4.7</v>
      </c>
      <c r="K17" s="57">
        <f t="shared" si="3"/>
        <v>16.253333333333334</v>
      </c>
      <c r="L17" s="61">
        <f t="shared" si="4"/>
        <v>3.9420090780141841</v>
      </c>
      <c r="M17" s="17">
        <v>136.5</v>
      </c>
      <c r="N17" s="17">
        <v>2438</v>
      </c>
      <c r="O17" s="46">
        <v>35.700000000000003</v>
      </c>
      <c r="P17" s="46">
        <v>638</v>
      </c>
      <c r="Q17" s="13">
        <v>3.8</v>
      </c>
      <c r="R17" s="46">
        <f t="shared" ref="R17" si="21">WEEKDAY(U17)</f>
        <v>2</v>
      </c>
      <c r="S17" s="15" t="str">
        <f>VLOOKUP(R17,'alim continu'!$A$6:$B$12,2)</f>
        <v>Lu</v>
      </c>
      <c r="T17" s="18">
        <f t="shared" si="16"/>
        <v>42513.189999999995</v>
      </c>
      <c r="U17" s="52">
        <f t="shared" si="17"/>
        <v>42513.189999999995</v>
      </c>
      <c r="V17" s="68">
        <f t="shared" si="18"/>
        <v>5</v>
      </c>
      <c r="W17" s="19" t="str">
        <f>VLOOKUP(V17,'alim continu'!$A$6:$B$12,2)</f>
        <v>Je</v>
      </c>
      <c r="X17" s="20">
        <f t="shared" si="19"/>
        <v>42516.99</v>
      </c>
      <c r="Y17" s="52">
        <f t="shared" si="20"/>
        <v>42516.99</v>
      </c>
      <c r="Z17" s="19">
        <v>1.2</v>
      </c>
      <c r="AA17" s="49"/>
      <c r="AB17" s="38"/>
      <c r="AC17" s="22">
        <f>Q17</f>
        <v>3.8</v>
      </c>
      <c r="AD17" s="11" t="s">
        <v>64</v>
      </c>
      <c r="AE17" s="36" t="s">
        <v>214</v>
      </c>
    </row>
    <row r="18" spans="1:31" ht="60" customHeight="1">
      <c r="A18" s="70" t="s">
        <v>266</v>
      </c>
      <c r="B18" s="7">
        <v>24</v>
      </c>
      <c r="C18" s="57">
        <f t="shared" si="10"/>
        <v>1499</v>
      </c>
      <c r="D18" s="57">
        <v>1597</v>
      </c>
      <c r="E18" s="57">
        <f t="shared" si="11"/>
        <v>98</v>
      </c>
      <c r="F18" s="57">
        <f t="shared" si="1"/>
        <v>157.715712</v>
      </c>
      <c r="G18" s="57"/>
      <c r="H18" s="59">
        <f t="shared" si="2"/>
        <v>157.715712</v>
      </c>
      <c r="I18" s="57">
        <f t="shared" si="12"/>
        <v>1417.2227200000002</v>
      </c>
      <c r="J18" s="57">
        <v>4.7</v>
      </c>
      <c r="K18" s="57">
        <f t="shared" si="3"/>
        <v>22.646666666666668</v>
      </c>
      <c r="L18" s="61">
        <f t="shared" si="4"/>
        <v>4.7968717730496451</v>
      </c>
      <c r="M18" s="17">
        <v>160.6</v>
      </c>
      <c r="N18" s="17">
        <v>3397</v>
      </c>
      <c r="O18" s="46">
        <v>35</v>
      </c>
      <c r="P18" s="46">
        <v>739</v>
      </c>
      <c r="Q18" s="13">
        <v>4.8</v>
      </c>
      <c r="R18" s="46">
        <f t="shared" si="5"/>
        <v>7</v>
      </c>
      <c r="S18" s="15" t="str">
        <f>VLOOKUP(R18,'alim continu'!$A$6:$B$12,2)</f>
        <v>Sa</v>
      </c>
      <c r="T18" s="18">
        <f t="shared" si="6"/>
        <v>42518.189999999995</v>
      </c>
      <c r="U18" s="52">
        <f t="shared" si="7"/>
        <v>42518.189999999995</v>
      </c>
      <c r="V18" s="46">
        <f t="shared" si="8"/>
        <v>4</v>
      </c>
      <c r="W18" s="19" t="str">
        <f>VLOOKUP(V18,'alim continu'!$A$6:$B$12,2)</f>
        <v>Me</v>
      </c>
      <c r="X18" s="20">
        <f t="shared" si="9"/>
        <v>42522.99</v>
      </c>
      <c r="Y18" s="52">
        <f t="shared" si="0"/>
        <v>42522.99</v>
      </c>
      <c r="Z18" s="19">
        <v>1.2</v>
      </c>
      <c r="AA18" s="49"/>
      <c r="AB18" s="35" t="s">
        <v>210</v>
      </c>
      <c r="AC18" s="21">
        <v>5.4</v>
      </c>
      <c r="AD18" s="26" t="s">
        <v>158</v>
      </c>
      <c r="AE18" s="4" t="s">
        <v>211</v>
      </c>
    </row>
    <row r="19" spans="1:31" ht="45" customHeight="1">
      <c r="A19" s="45" t="s">
        <v>11</v>
      </c>
      <c r="B19" s="7">
        <v>25</v>
      </c>
      <c r="C19" s="57">
        <f t="shared" si="10"/>
        <v>1597</v>
      </c>
      <c r="D19" s="57">
        <v>1654</v>
      </c>
      <c r="E19" s="57">
        <f t="shared" si="11"/>
        <v>57</v>
      </c>
      <c r="F19" s="57">
        <f t="shared" si="1"/>
        <v>91.732607999999999</v>
      </c>
      <c r="G19" s="57"/>
      <c r="H19" s="59">
        <f t="shared" si="2"/>
        <v>91.732607999999999</v>
      </c>
      <c r="I19" s="57">
        <f t="shared" si="12"/>
        <v>1508.9553280000002</v>
      </c>
      <c r="J19" s="57">
        <v>4.7</v>
      </c>
      <c r="K19" s="57">
        <f t="shared" si="3"/>
        <v>8.4666666666666668</v>
      </c>
      <c r="L19" s="61">
        <f t="shared" si="4"/>
        <v>2.6648743262411347</v>
      </c>
      <c r="M19" s="17">
        <v>89.8</v>
      </c>
      <c r="N19" s="17">
        <v>1270</v>
      </c>
      <c r="O19" s="46">
        <v>36.6</v>
      </c>
      <c r="P19" s="46">
        <v>518</v>
      </c>
      <c r="Q19" s="13">
        <v>2.6</v>
      </c>
      <c r="R19" s="46">
        <f t="shared" si="5"/>
        <v>6</v>
      </c>
      <c r="S19" s="15" t="str">
        <f>VLOOKUP(R19,'alim continu'!$A$6:$B$12,2)</f>
        <v>Ve</v>
      </c>
      <c r="T19" s="18">
        <f t="shared" si="6"/>
        <v>42524.189999999995</v>
      </c>
      <c r="U19" s="52">
        <f t="shared" si="7"/>
        <v>42524.189999999995</v>
      </c>
      <c r="V19" s="46">
        <f t="shared" si="8"/>
        <v>1</v>
      </c>
      <c r="W19" s="19" t="str">
        <f>VLOOKUP(V19,'alim continu'!$A$6:$B$12,2)</f>
        <v>Di</v>
      </c>
      <c r="X19" s="20">
        <f t="shared" si="9"/>
        <v>42526.789999999994</v>
      </c>
      <c r="Y19" s="52">
        <f t="shared" si="0"/>
        <v>42526.789999999994</v>
      </c>
      <c r="Z19" s="19">
        <v>0.6</v>
      </c>
      <c r="AA19" s="49"/>
      <c r="AB19" s="38" t="s">
        <v>27</v>
      </c>
      <c r="AC19" s="22"/>
      <c r="AD19" s="26" t="s">
        <v>86</v>
      </c>
      <c r="AE19" s="2" t="s">
        <v>215</v>
      </c>
    </row>
    <row r="20" spans="1:31" ht="36">
      <c r="A20" s="45" t="s">
        <v>12</v>
      </c>
      <c r="B20" s="7">
        <v>26</v>
      </c>
      <c r="C20" s="57">
        <f t="shared" si="10"/>
        <v>1654</v>
      </c>
      <c r="D20" s="57">
        <v>1717</v>
      </c>
      <c r="E20" s="57">
        <f t="shared" si="11"/>
        <v>63</v>
      </c>
      <c r="F20" s="57">
        <f t="shared" si="1"/>
        <v>101.38867200000001</v>
      </c>
      <c r="G20" s="57"/>
      <c r="H20" s="59">
        <f t="shared" si="2"/>
        <v>101.38867200000001</v>
      </c>
      <c r="I20" s="57">
        <f t="shared" si="12"/>
        <v>1610.3440000000003</v>
      </c>
      <c r="J20" s="57">
        <v>4.7</v>
      </c>
      <c r="K20" s="57">
        <f t="shared" si="3"/>
        <v>20.326666666666668</v>
      </c>
      <c r="L20" s="61">
        <f t="shared" si="4"/>
        <v>3.237110070921986</v>
      </c>
      <c r="M20" s="17">
        <v>103.9</v>
      </c>
      <c r="N20" s="17">
        <v>3049</v>
      </c>
      <c r="O20" s="46">
        <v>33.200000000000003</v>
      </c>
      <c r="P20" s="46">
        <v>974</v>
      </c>
      <c r="Q20" s="13">
        <v>3.3</v>
      </c>
      <c r="R20" s="46">
        <f t="shared" si="5"/>
        <v>2</v>
      </c>
      <c r="S20" s="15" t="str">
        <f>VLOOKUP(R20,'alim continu'!$A$6:$B$12,2)</f>
        <v>Lu</v>
      </c>
      <c r="T20" s="18">
        <f t="shared" si="6"/>
        <v>42527.389999999992</v>
      </c>
      <c r="U20" s="52">
        <f t="shared" si="7"/>
        <v>42527.389999999992</v>
      </c>
      <c r="V20" s="46">
        <f t="shared" si="8"/>
        <v>5</v>
      </c>
      <c r="W20" s="19" t="str">
        <f>VLOOKUP(V20,'alim continu'!$A$6:$B$12,2)</f>
        <v>Je</v>
      </c>
      <c r="X20" s="20">
        <f t="shared" si="9"/>
        <v>42530.689999999995</v>
      </c>
      <c r="Y20" s="52">
        <f t="shared" si="0"/>
        <v>42530.689999999995</v>
      </c>
      <c r="Z20" s="19">
        <v>2.4</v>
      </c>
      <c r="AA20" s="49"/>
      <c r="AB20" s="35"/>
      <c r="AC20" s="22"/>
      <c r="AD20" s="26" t="s">
        <v>87</v>
      </c>
      <c r="AE20" s="1" t="s">
        <v>216</v>
      </c>
    </row>
    <row r="21" spans="1:31" ht="39" customHeight="1">
      <c r="A21" s="45" t="s">
        <v>13</v>
      </c>
      <c r="B21" s="7">
        <v>27</v>
      </c>
      <c r="C21" s="57">
        <f t="shared" si="10"/>
        <v>1717</v>
      </c>
      <c r="D21" s="57">
        <v>1819</v>
      </c>
      <c r="E21" s="57">
        <f t="shared" si="11"/>
        <v>102</v>
      </c>
      <c r="F21" s="57">
        <f t="shared" si="1"/>
        <v>164.15308800000003</v>
      </c>
      <c r="G21" s="57"/>
      <c r="H21" s="59">
        <f t="shared" si="2"/>
        <v>164.15308800000003</v>
      </c>
      <c r="I21" s="57">
        <f t="shared" si="12"/>
        <v>1774.4970880000003</v>
      </c>
      <c r="J21" s="57">
        <v>4.7</v>
      </c>
      <c r="K21" s="57">
        <f t="shared" si="3"/>
        <v>19.126666666666665</v>
      </c>
      <c r="L21" s="61">
        <f t="shared" si="4"/>
        <v>4.874461560283688</v>
      </c>
      <c r="M21" s="17">
        <v>170</v>
      </c>
      <c r="N21" s="17">
        <v>2869</v>
      </c>
      <c r="O21" s="46">
        <v>36</v>
      </c>
      <c r="P21" s="46">
        <v>607</v>
      </c>
      <c r="Q21" s="13">
        <v>5.2</v>
      </c>
      <c r="R21" s="46">
        <f t="shared" si="5"/>
        <v>1</v>
      </c>
      <c r="S21" s="15" t="str">
        <f>VLOOKUP(R21,'alim continu'!$A$6:$B$12,2)</f>
        <v>Di</v>
      </c>
      <c r="T21" s="18">
        <f t="shared" si="6"/>
        <v>42533.09</v>
      </c>
      <c r="U21" s="52">
        <f t="shared" si="7"/>
        <v>42533.09</v>
      </c>
      <c r="V21" s="46">
        <f t="shared" si="8"/>
        <v>6</v>
      </c>
      <c r="W21" s="19" t="str">
        <f>VLOOKUP(V21,'alim continu'!$A$6:$B$12,2)</f>
        <v>Ve</v>
      </c>
      <c r="X21" s="20">
        <f t="shared" si="9"/>
        <v>42538.289999999994</v>
      </c>
      <c r="Y21" s="52">
        <f t="shared" si="0"/>
        <v>42538.289999999994</v>
      </c>
      <c r="Z21" s="19">
        <v>0.8</v>
      </c>
      <c r="AA21" s="49"/>
      <c r="AB21" s="38" t="s">
        <v>28</v>
      </c>
      <c r="AC21" s="22">
        <f>Q21+Q20+Q19</f>
        <v>11.1</v>
      </c>
      <c r="AD21" s="26" t="s">
        <v>89</v>
      </c>
      <c r="AE21" s="62" t="s">
        <v>224</v>
      </c>
    </row>
    <row r="22" spans="1:31" ht="49.5" customHeight="1">
      <c r="A22" s="45" t="s">
        <v>14</v>
      </c>
      <c r="B22" s="7">
        <v>28</v>
      </c>
      <c r="C22" s="57">
        <f t="shared" si="10"/>
        <v>1819</v>
      </c>
      <c r="D22" s="57">
        <v>1904</v>
      </c>
      <c r="E22" s="57">
        <f t="shared" si="11"/>
        <v>85</v>
      </c>
      <c r="F22" s="57">
        <f t="shared" si="1"/>
        <v>136.79424</v>
      </c>
      <c r="G22" s="57"/>
      <c r="H22" s="59">
        <f t="shared" si="2"/>
        <v>136.79424</v>
      </c>
      <c r="I22" s="57">
        <f t="shared" si="12"/>
        <v>1911.2913280000002</v>
      </c>
      <c r="J22" s="57">
        <v>4.7</v>
      </c>
      <c r="K22" s="57">
        <f t="shared" si="3"/>
        <v>14.226666666666667</v>
      </c>
      <c r="L22" s="61">
        <f t="shared" si="4"/>
        <v>4.0165134751773044</v>
      </c>
      <c r="M22" s="17">
        <v>137.69999999999999</v>
      </c>
      <c r="N22" s="17">
        <v>2134</v>
      </c>
      <c r="O22" s="46">
        <v>36.299999999999997</v>
      </c>
      <c r="P22" s="46">
        <v>562</v>
      </c>
      <c r="Q22" s="13">
        <v>3.9</v>
      </c>
      <c r="R22" s="46">
        <f t="shared" si="5"/>
        <v>7</v>
      </c>
      <c r="S22" s="15" t="str">
        <f>VLOOKUP(R22,'alim continu'!$A$6:$B$12,2)</f>
        <v>Sa</v>
      </c>
      <c r="T22" s="18">
        <f t="shared" si="6"/>
        <v>42539.09</v>
      </c>
      <c r="U22" s="52">
        <f t="shared" si="7"/>
        <v>42539.09</v>
      </c>
      <c r="V22" s="46">
        <f t="shared" si="8"/>
        <v>3</v>
      </c>
      <c r="W22" s="19" t="str">
        <f>VLOOKUP(V22,'alim continu'!$A$6:$B$12,2)</f>
        <v>Ma</v>
      </c>
      <c r="X22" s="20">
        <f t="shared" si="9"/>
        <v>42542.99</v>
      </c>
      <c r="Y22" s="52">
        <f t="shared" si="0"/>
        <v>42542.99</v>
      </c>
      <c r="Z22" s="19">
        <v>0.2</v>
      </c>
      <c r="AA22" s="49"/>
      <c r="AB22" s="35" t="s">
        <v>150</v>
      </c>
      <c r="AC22" s="21"/>
      <c r="AD22" s="26" t="s">
        <v>90</v>
      </c>
      <c r="AE22" s="40" t="s">
        <v>88</v>
      </c>
    </row>
    <row r="23" spans="1:31" ht="106.5" customHeight="1">
      <c r="A23" s="7" t="s">
        <v>257</v>
      </c>
      <c r="B23" s="7">
        <v>29</v>
      </c>
      <c r="C23" s="57">
        <f t="shared" si="10"/>
        <v>1904</v>
      </c>
      <c r="D23" s="57">
        <v>1993</v>
      </c>
      <c r="E23" s="57">
        <f t="shared" si="11"/>
        <v>89</v>
      </c>
      <c r="F23" s="57">
        <f t="shared" si="1"/>
        <v>143.231616</v>
      </c>
      <c r="G23" s="57"/>
      <c r="H23" s="59">
        <f t="shared" si="2"/>
        <v>143.231616</v>
      </c>
      <c r="I23" s="57">
        <f t="shared" si="12"/>
        <v>2054.5229440000003</v>
      </c>
      <c r="J23" s="57">
        <v>4.7</v>
      </c>
      <c r="K23" s="57">
        <f t="shared" si="3"/>
        <v>11.906666666666666</v>
      </c>
      <c r="L23" s="61">
        <f t="shared" si="4"/>
        <v>4.1260181560283691</v>
      </c>
      <c r="M23" s="17">
        <v>125.4</v>
      </c>
      <c r="N23" s="17">
        <v>1786</v>
      </c>
      <c r="O23" s="46">
        <v>36.6</v>
      </c>
      <c r="P23" s="46">
        <v>521</v>
      </c>
      <c r="Q23" s="13">
        <v>3.6</v>
      </c>
      <c r="R23" s="46">
        <f t="shared" si="5"/>
        <v>4</v>
      </c>
      <c r="S23" s="15" t="str">
        <f>VLOOKUP(R23,'alim continu'!$A$6:$B$12,2)</f>
        <v>Me</v>
      </c>
      <c r="T23" s="18">
        <f t="shared" si="6"/>
        <v>42543.189999999995</v>
      </c>
      <c r="U23" s="52">
        <f t="shared" si="7"/>
        <v>42543.189999999995</v>
      </c>
      <c r="V23" s="46">
        <f t="shared" si="8"/>
        <v>7</v>
      </c>
      <c r="W23" s="19" t="str">
        <f>VLOOKUP(V23,'alim continu'!$A$6:$B$12,2)</f>
        <v>Sa</v>
      </c>
      <c r="X23" s="20">
        <f t="shared" si="9"/>
        <v>42546.789999999994</v>
      </c>
      <c r="Y23" s="52">
        <f t="shared" si="0"/>
        <v>42546.789999999994</v>
      </c>
      <c r="Z23" s="19">
        <v>0.4</v>
      </c>
      <c r="AA23" s="49"/>
      <c r="AB23" s="35"/>
      <c r="AC23" s="21"/>
      <c r="AD23" s="43" t="s">
        <v>92</v>
      </c>
      <c r="AE23" s="1" t="s">
        <v>256</v>
      </c>
    </row>
    <row r="24" spans="1:31" ht="41.25" customHeight="1">
      <c r="A24" s="7" t="s">
        <v>258</v>
      </c>
      <c r="B24" s="7">
        <v>30</v>
      </c>
      <c r="C24" s="57">
        <f t="shared" si="10"/>
        <v>1993</v>
      </c>
      <c r="D24" s="57">
        <v>2094</v>
      </c>
      <c r="E24" s="57">
        <f t="shared" si="11"/>
        <v>101</v>
      </c>
      <c r="F24" s="57">
        <f t="shared" si="1"/>
        <v>162.543744</v>
      </c>
      <c r="G24" s="57"/>
      <c r="H24" s="59">
        <f t="shared" si="2"/>
        <v>162.543744</v>
      </c>
      <c r="I24" s="57">
        <f t="shared" si="12"/>
        <v>2217.0666880000003</v>
      </c>
      <c r="J24" s="57">
        <v>4.7</v>
      </c>
      <c r="K24" s="57">
        <f t="shared" si="3"/>
        <v>25.106666666666666</v>
      </c>
      <c r="L24" s="61">
        <f t="shared" si="4"/>
        <v>4.9907024113475176</v>
      </c>
      <c r="M24" s="17">
        <v>189.9</v>
      </c>
      <c r="N24" s="17">
        <v>3766</v>
      </c>
      <c r="O24" s="46">
        <v>35.299999999999997</v>
      </c>
      <c r="P24" s="46">
        <v>699</v>
      </c>
      <c r="Q24" s="13">
        <v>5.8</v>
      </c>
      <c r="R24" s="46">
        <f t="shared" si="5"/>
        <v>1</v>
      </c>
      <c r="S24" s="15" t="str">
        <f>VLOOKUP(R24,'alim continu'!$A$6:$B$12,2)</f>
        <v>Di</v>
      </c>
      <c r="T24" s="18">
        <f t="shared" si="6"/>
        <v>42547.189999999995</v>
      </c>
      <c r="U24" s="52">
        <f t="shared" si="7"/>
        <v>42547.189999999995</v>
      </c>
      <c r="V24" s="46">
        <f t="shared" si="8"/>
        <v>6</v>
      </c>
      <c r="W24" s="19" t="str">
        <f>VLOOKUP(V24,'alim continu'!$A$6:$B$12,2)</f>
        <v>Ve</v>
      </c>
      <c r="X24" s="20">
        <f t="shared" si="9"/>
        <v>42552.99</v>
      </c>
      <c r="Y24" s="52">
        <f t="shared" si="0"/>
        <v>42552.99</v>
      </c>
      <c r="Z24" s="19">
        <v>2.1</v>
      </c>
      <c r="AA24" s="49"/>
      <c r="AB24" s="35" t="s">
        <v>149</v>
      </c>
      <c r="AC24" s="21"/>
      <c r="AD24" s="11" t="s">
        <v>93</v>
      </c>
      <c r="AE24" s="1" t="s">
        <v>91</v>
      </c>
    </row>
    <row r="25" spans="1:31" ht="53.25" customHeight="1">
      <c r="A25" s="45" t="s">
        <v>17</v>
      </c>
      <c r="B25" s="7">
        <v>31</v>
      </c>
      <c r="C25" s="57">
        <f t="shared" si="10"/>
        <v>2094</v>
      </c>
      <c r="D25" s="57">
        <v>2144</v>
      </c>
      <c r="E25" s="57">
        <f t="shared" si="11"/>
        <v>50</v>
      </c>
      <c r="F25" s="57">
        <f t="shared" si="1"/>
        <v>80.467200000000005</v>
      </c>
      <c r="G25" s="57"/>
      <c r="H25" s="59">
        <f t="shared" si="2"/>
        <v>80.467200000000005</v>
      </c>
      <c r="I25" s="57">
        <f t="shared" si="12"/>
        <v>2297.5338880000004</v>
      </c>
      <c r="J25" s="57">
        <v>4.7</v>
      </c>
      <c r="K25" s="57">
        <f t="shared" si="3"/>
        <v>8.413333333333334</v>
      </c>
      <c r="L25" s="61">
        <f t="shared" si="4"/>
        <v>2.3638439716312059</v>
      </c>
      <c r="M25" s="17">
        <v>77</v>
      </c>
      <c r="N25" s="17">
        <v>1262</v>
      </c>
      <c r="O25" s="46">
        <v>36.1</v>
      </c>
      <c r="P25" s="46">
        <v>591</v>
      </c>
      <c r="Q25" s="13">
        <v>2.2000000000000002</v>
      </c>
      <c r="R25" s="46">
        <f t="shared" si="5"/>
        <v>2</v>
      </c>
      <c r="S25" s="15" t="str">
        <f>VLOOKUP(R25,'alim continu'!$A$6:$B$12,2)</f>
        <v>Lu</v>
      </c>
      <c r="T25" s="18">
        <f t="shared" si="6"/>
        <v>42555.09</v>
      </c>
      <c r="U25" s="52">
        <f t="shared" si="7"/>
        <v>42555.09</v>
      </c>
      <c r="V25" s="46">
        <f t="shared" si="8"/>
        <v>4</v>
      </c>
      <c r="W25" s="19" t="str">
        <f>VLOOKUP(V25,'alim continu'!$A$6:$B$12,2)</f>
        <v>Me</v>
      </c>
      <c r="X25" s="20">
        <f t="shared" si="9"/>
        <v>42557.289999999994</v>
      </c>
      <c r="Y25" s="52">
        <f t="shared" si="0"/>
        <v>42557.289999999994</v>
      </c>
      <c r="Z25" s="19">
        <v>0.1</v>
      </c>
      <c r="AA25" s="49"/>
      <c r="AB25" s="35" t="s">
        <v>147</v>
      </c>
      <c r="AC25" s="21">
        <f>Q25+Q24+Q23+Q22</f>
        <v>15.5</v>
      </c>
      <c r="AD25" s="11" t="s">
        <v>94</v>
      </c>
      <c r="AE25" s="41" t="s">
        <v>217</v>
      </c>
    </row>
    <row r="26" spans="1:31" ht="47.25" customHeight="1">
      <c r="A26" s="45" t="s">
        <v>18</v>
      </c>
      <c r="B26" s="7">
        <v>32</v>
      </c>
      <c r="C26" s="57">
        <f t="shared" si="10"/>
        <v>2144</v>
      </c>
      <c r="D26" s="57">
        <v>2293</v>
      </c>
      <c r="E26" s="57">
        <f t="shared" si="11"/>
        <v>149</v>
      </c>
      <c r="F26" s="57">
        <f t="shared" si="1"/>
        <v>239.79225600000001</v>
      </c>
      <c r="G26" s="57"/>
      <c r="H26" s="59">
        <f t="shared" si="2"/>
        <v>239.79225600000001</v>
      </c>
      <c r="I26" s="57">
        <f t="shared" si="12"/>
        <v>2537.3261440000006</v>
      </c>
      <c r="J26" s="57">
        <v>4.7</v>
      </c>
      <c r="K26" s="57">
        <f t="shared" si="3"/>
        <v>42.313333333333333</v>
      </c>
      <c r="L26" s="61">
        <f t="shared" si="4"/>
        <v>7.5028082269503544</v>
      </c>
      <c r="M26" s="17">
        <v>237.8</v>
      </c>
      <c r="N26" s="17">
        <v>6347</v>
      </c>
      <c r="O26" s="46">
        <v>33.700000000000003</v>
      </c>
      <c r="P26" s="46">
        <v>901</v>
      </c>
      <c r="Q26" s="13">
        <v>7.6</v>
      </c>
      <c r="R26" s="46">
        <f t="shared" si="5"/>
        <v>4</v>
      </c>
      <c r="S26" s="15" t="str">
        <f>VLOOKUP(R26,'alim continu'!$A$6:$B$12,2)</f>
        <v>Me</v>
      </c>
      <c r="T26" s="18">
        <f t="shared" si="6"/>
        <v>42557.389999999992</v>
      </c>
      <c r="U26" s="52">
        <f t="shared" si="7"/>
        <v>42557.389999999992</v>
      </c>
      <c r="V26" s="46">
        <f t="shared" si="8"/>
        <v>4</v>
      </c>
      <c r="W26" s="19" t="str">
        <f>VLOOKUP(V26,'alim continu'!$A$6:$B$12,2)</f>
        <v>Me</v>
      </c>
      <c r="X26" s="20">
        <f t="shared" si="9"/>
        <v>42564.989999999991</v>
      </c>
      <c r="Y26" s="52">
        <f t="shared" si="0"/>
        <v>42564.989999999991</v>
      </c>
      <c r="Z26" s="19">
        <v>1.2</v>
      </c>
      <c r="AA26" s="49"/>
      <c r="AB26" s="35" t="s">
        <v>267</v>
      </c>
      <c r="AC26" s="22"/>
      <c r="AD26" s="11" t="s">
        <v>95</v>
      </c>
      <c r="AE26" s="1" t="s">
        <v>218</v>
      </c>
    </row>
    <row r="27" spans="1:31" ht="60.75" customHeight="1">
      <c r="A27" s="45" t="s">
        <v>19</v>
      </c>
      <c r="B27" s="7">
        <v>33</v>
      </c>
      <c r="C27" s="57">
        <f t="shared" si="10"/>
        <v>2293</v>
      </c>
      <c r="D27" s="57">
        <v>2391</v>
      </c>
      <c r="E27" s="57">
        <f t="shared" si="11"/>
        <v>98</v>
      </c>
      <c r="F27" s="57">
        <f t="shared" si="1"/>
        <v>157.715712</v>
      </c>
      <c r="G27" s="57"/>
      <c r="H27" s="59">
        <f t="shared" si="2"/>
        <v>157.715712</v>
      </c>
      <c r="I27" s="57">
        <f t="shared" si="12"/>
        <v>2695.0418560000007</v>
      </c>
      <c r="J27" s="57">
        <v>4.7</v>
      </c>
      <c r="K27" s="57">
        <f t="shared" si="3"/>
        <v>18.666666666666668</v>
      </c>
      <c r="L27" s="61">
        <f t="shared" si="4"/>
        <v>4.6910207092198579</v>
      </c>
      <c r="M27" s="17">
        <v>159.4</v>
      </c>
      <c r="N27" s="17">
        <v>2800</v>
      </c>
      <c r="O27" s="46">
        <v>35.799999999999997</v>
      </c>
      <c r="P27" s="46">
        <v>629</v>
      </c>
      <c r="Q27" s="13">
        <v>5.2</v>
      </c>
      <c r="R27" s="46">
        <f t="shared" si="5"/>
        <v>6</v>
      </c>
      <c r="S27" s="15" t="str">
        <f>VLOOKUP(R27,'alim continu'!$A$6:$B$12,2)</f>
        <v>Ve</v>
      </c>
      <c r="T27" s="18">
        <f t="shared" si="6"/>
        <v>42566.189999999988</v>
      </c>
      <c r="U27" s="52">
        <f t="shared" si="7"/>
        <v>42566.189999999988</v>
      </c>
      <c r="V27" s="46">
        <f t="shared" si="8"/>
        <v>4</v>
      </c>
      <c r="W27" s="19" t="str">
        <f>VLOOKUP(V27,'alim continu'!$A$6:$B$12,2)</f>
        <v>Me</v>
      </c>
      <c r="X27" s="20">
        <f t="shared" si="9"/>
        <v>42571.389999999985</v>
      </c>
      <c r="Y27" s="52">
        <f t="shared" si="0"/>
        <v>42571.389999999985</v>
      </c>
      <c r="Z27" s="19">
        <v>0.1</v>
      </c>
      <c r="AA27" s="49"/>
      <c r="AB27" s="35" t="s">
        <v>31</v>
      </c>
      <c r="AC27" s="22"/>
      <c r="AD27" s="11" t="s">
        <v>159</v>
      </c>
      <c r="AE27" s="1" t="s">
        <v>268</v>
      </c>
    </row>
    <row r="28" spans="1:31" ht="53.25" customHeight="1">
      <c r="A28" s="45" t="s">
        <v>96</v>
      </c>
      <c r="B28" s="7">
        <v>34</v>
      </c>
      <c r="C28" s="57">
        <f t="shared" si="10"/>
        <v>2391</v>
      </c>
      <c r="D28" s="57">
        <v>2462</v>
      </c>
      <c r="E28" s="57">
        <f t="shared" si="11"/>
        <v>71</v>
      </c>
      <c r="F28" s="57">
        <f t="shared" si="1"/>
        <v>114.26342400000001</v>
      </c>
      <c r="G28" s="57"/>
      <c r="H28" s="59">
        <f t="shared" si="2"/>
        <v>114.26342400000001</v>
      </c>
      <c r="I28" s="57">
        <f t="shared" si="12"/>
        <v>2809.3052800000009</v>
      </c>
      <c r="J28" s="57">
        <v>4.7</v>
      </c>
      <c r="K28" s="57">
        <f t="shared" si="3"/>
        <v>27.333333333333332</v>
      </c>
      <c r="L28" s="61">
        <f t="shared" si="4"/>
        <v>3.7658712056737595</v>
      </c>
      <c r="M28" s="17">
        <v>120</v>
      </c>
      <c r="N28" s="17">
        <v>4100</v>
      </c>
      <c r="O28" s="46">
        <v>32.200000000000003</v>
      </c>
      <c r="P28" s="46">
        <v>1102</v>
      </c>
      <c r="Q28" s="13">
        <v>4</v>
      </c>
      <c r="R28" s="46">
        <f t="shared" si="5"/>
        <v>4</v>
      </c>
      <c r="S28" s="15" t="str">
        <f>VLOOKUP(R28,'alim continu'!$A$6:$B$12,2)</f>
        <v>Me</v>
      </c>
      <c r="T28" s="18">
        <f t="shared" si="6"/>
        <v>42571.489999999983</v>
      </c>
      <c r="U28" s="52">
        <f t="shared" si="7"/>
        <v>42571.489999999983</v>
      </c>
      <c r="V28" s="46">
        <f t="shared" si="8"/>
        <v>1</v>
      </c>
      <c r="W28" s="19" t="str">
        <f>VLOOKUP(V28,'alim continu'!$A$6:$B$12,2)</f>
        <v>Di</v>
      </c>
      <c r="X28" s="20">
        <f t="shared" si="9"/>
        <v>42575.489999999983</v>
      </c>
      <c r="Y28" s="52">
        <f t="shared" si="0"/>
        <v>42575.489999999983</v>
      </c>
      <c r="Z28" s="19">
        <v>0.6</v>
      </c>
      <c r="AA28" s="49"/>
      <c r="AB28" s="35" t="s">
        <v>32</v>
      </c>
      <c r="AC28" s="22"/>
      <c r="AD28" s="11" t="s">
        <v>97</v>
      </c>
      <c r="AE28" s="1" t="s">
        <v>269</v>
      </c>
    </row>
    <row r="29" spans="1:31" ht="111.75" customHeight="1">
      <c r="A29" s="67" t="s">
        <v>220</v>
      </c>
      <c r="B29" s="7">
        <v>35</v>
      </c>
      <c r="C29" s="57">
        <f t="shared" si="10"/>
        <v>2462</v>
      </c>
      <c r="D29" s="57">
        <v>2569</v>
      </c>
      <c r="E29" s="57">
        <f t="shared" si="11"/>
        <v>107</v>
      </c>
      <c r="F29" s="57">
        <f t="shared" si="1"/>
        <v>172.19980800000002</v>
      </c>
      <c r="G29" s="57"/>
      <c r="H29" s="59">
        <f t="shared" si="2"/>
        <v>172.19980800000002</v>
      </c>
      <c r="I29" s="57">
        <f t="shared" si="12"/>
        <v>2981.5050880000008</v>
      </c>
      <c r="J29" s="57">
        <v>4.7</v>
      </c>
      <c r="K29" s="57">
        <f t="shared" si="3"/>
        <v>34.26</v>
      </c>
      <c r="L29" s="61">
        <f t="shared" si="4"/>
        <v>5.4909523404255323</v>
      </c>
      <c r="M29" s="17">
        <v>157.5</v>
      </c>
      <c r="N29" s="17">
        <v>5139</v>
      </c>
      <c r="O29" s="46">
        <v>32.5</v>
      </c>
      <c r="P29" s="46">
        <v>1062</v>
      </c>
      <c r="Q29" s="13">
        <v>5.6</v>
      </c>
      <c r="R29" s="46">
        <f t="shared" si="5"/>
        <v>2</v>
      </c>
      <c r="S29" s="15" t="str">
        <f>VLOOKUP(R29,'alim continu'!$A$6:$B$12,2)</f>
        <v>Lu</v>
      </c>
      <c r="T29" s="18">
        <f t="shared" si="6"/>
        <v>42576.089999999982</v>
      </c>
      <c r="U29" s="52">
        <f t="shared" si="7"/>
        <v>42576.089999999982</v>
      </c>
      <c r="V29" s="46">
        <f t="shared" si="8"/>
        <v>7</v>
      </c>
      <c r="W29" s="19" t="str">
        <f>VLOOKUP(V29,'alim continu'!$A$6:$B$12,2)</f>
        <v>Sa</v>
      </c>
      <c r="X29" s="20">
        <f t="shared" si="9"/>
        <v>42581.689999999981</v>
      </c>
      <c r="Y29" s="52">
        <f t="shared" si="0"/>
        <v>42581.689999999981</v>
      </c>
      <c r="Z29" s="19">
        <v>0.5</v>
      </c>
      <c r="AA29" s="49"/>
      <c r="AB29" s="35" t="s">
        <v>33</v>
      </c>
      <c r="AC29" s="22">
        <f>Q29+Q28+Q27+Q26</f>
        <v>22.4</v>
      </c>
      <c r="AD29" s="11" t="s">
        <v>99</v>
      </c>
      <c r="AE29" s="41" t="s">
        <v>171</v>
      </c>
    </row>
    <row r="30" spans="1:31" ht="73.5" customHeight="1">
      <c r="A30" s="45" t="s">
        <v>21</v>
      </c>
      <c r="B30" s="7">
        <v>36</v>
      </c>
      <c r="C30" s="57">
        <f>D29</f>
        <v>2569</v>
      </c>
      <c r="D30" s="57">
        <v>2659</v>
      </c>
      <c r="E30" s="57">
        <f t="shared" si="11"/>
        <v>90</v>
      </c>
      <c r="F30" s="57">
        <f t="shared" si="1"/>
        <v>144.84096</v>
      </c>
      <c r="G30" s="57"/>
      <c r="H30" s="59">
        <f t="shared" si="2"/>
        <v>144.84096</v>
      </c>
      <c r="I30" s="57">
        <f>I29+H30</f>
        <v>3126.3460480000008</v>
      </c>
      <c r="J30" s="57">
        <v>4.7</v>
      </c>
      <c r="K30" s="57">
        <f t="shared" si="3"/>
        <v>27.133333333333333</v>
      </c>
      <c r="L30" s="61">
        <f t="shared" si="4"/>
        <v>4.57378439716312</v>
      </c>
      <c r="M30" s="17">
        <v>143</v>
      </c>
      <c r="N30" s="17">
        <v>4070</v>
      </c>
      <c r="O30" s="46">
        <v>33.4</v>
      </c>
      <c r="P30" s="46">
        <v>945</v>
      </c>
      <c r="Q30" s="27">
        <v>4.5</v>
      </c>
      <c r="R30" s="46">
        <f t="shared" si="5"/>
        <v>1</v>
      </c>
      <c r="S30" s="15" t="str">
        <f>VLOOKUP(R30,'alim continu'!$A$6:$B$12,2)</f>
        <v>Di</v>
      </c>
      <c r="T30" s="18">
        <f t="shared" si="6"/>
        <v>42582.189999999981</v>
      </c>
      <c r="U30" s="52">
        <f>Y29+Z29</f>
        <v>42582.189999999981</v>
      </c>
      <c r="V30" s="46">
        <f t="shared" si="8"/>
        <v>5</v>
      </c>
      <c r="W30" s="19" t="str">
        <f>VLOOKUP(V30,'alim continu'!$A$6:$B$12,2)</f>
        <v>Je</v>
      </c>
      <c r="X30" s="20">
        <f t="shared" si="9"/>
        <v>42586.689999999981</v>
      </c>
      <c r="Y30" s="52">
        <f t="shared" si="0"/>
        <v>42586.689999999981</v>
      </c>
      <c r="Z30" s="19">
        <v>5.5</v>
      </c>
      <c r="AA30" s="49"/>
      <c r="AB30" s="35"/>
      <c r="AC30" s="21">
        <f>Q30</f>
        <v>4.5</v>
      </c>
      <c r="AD30" s="11"/>
      <c r="AE30" s="62" t="s">
        <v>259</v>
      </c>
    </row>
    <row r="31" spans="1:31" ht="102" customHeight="1">
      <c r="A31" s="24" t="s">
        <v>162</v>
      </c>
      <c r="B31" s="7">
        <v>22</v>
      </c>
      <c r="C31" s="57">
        <f>'PCT continu'!C27</f>
        <v>1417</v>
      </c>
      <c r="D31" s="57">
        <v>1375</v>
      </c>
      <c r="E31" s="57">
        <f>C31-D31</f>
        <v>42</v>
      </c>
      <c r="F31" s="57">
        <f t="shared" ref="F31:F32" si="22">E31*1.609344</f>
        <v>67.592448000000005</v>
      </c>
      <c r="G31" s="57"/>
      <c r="H31" s="59">
        <f t="shared" ref="H31:H32" si="23">F31+G31</f>
        <v>67.592448000000005</v>
      </c>
      <c r="I31" s="57">
        <f t="shared" ref="I31:I32" si="24">I30+H31</f>
        <v>3193.9384960000007</v>
      </c>
      <c r="J31" s="57">
        <v>4.3</v>
      </c>
      <c r="K31" s="57">
        <f t="shared" ref="K31:K32" si="25">(N31/300)*2</f>
        <v>6.2733333333333334</v>
      </c>
      <c r="L31" s="61">
        <f t="shared" ref="L31:L32" si="26">(H31+K31)/(J31*8)</f>
        <v>2.1472610852713179</v>
      </c>
      <c r="M31" s="17">
        <f>H31</f>
        <v>67.592448000000005</v>
      </c>
      <c r="N31" s="17">
        <v>941</v>
      </c>
      <c r="O31" s="66">
        <v>31</v>
      </c>
      <c r="P31" s="66">
        <v>397</v>
      </c>
      <c r="Q31" s="13">
        <v>2.5</v>
      </c>
      <c r="R31" s="66">
        <f t="shared" si="5"/>
        <v>4</v>
      </c>
      <c r="S31" s="15" t="str">
        <f>VLOOKUP(R31,'alim continu'!$A$6:$B$12,2)</f>
        <v>Me</v>
      </c>
      <c r="T31" s="18">
        <f t="shared" si="6"/>
        <v>42592.189999999981</v>
      </c>
      <c r="U31" s="52">
        <f t="shared" ref="U31:U32" si="27">Y30+Z30</f>
        <v>42592.189999999981</v>
      </c>
      <c r="V31" s="66">
        <f t="shared" si="8"/>
        <v>6</v>
      </c>
      <c r="W31" s="19" t="str">
        <f>VLOOKUP(V31,'alim continu'!$A$6:$B$12,2)</f>
        <v>Ve</v>
      </c>
      <c r="X31" s="20">
        <f t="shared" si="9"/>
        <v>42594.689999999981</v>
      </c>
      <c r="Y31" s="52">
        <f t="shared" si="0"/>
        <v>42594.689999999981</v>
      </c>
      <c r="Z31" s="19">
        <v>0.4</v>
      </c>
      <c r="AA31" s="49">
        <f t="shared" ref="AA31:AA32" si="28">AA30+Q31+Z31</f>
        <v>2.9</v>
      </c>
      <c r="AB31" s="38" t="s">
        <v>165</v>
      </c>
      <c r="AC31" s="21"/>
      <c r="AD31" s="25" t="s">
        <v>82</v>
      </c>
      <c r="AE31" s="1" t="s">
        <v>234</v>
      </c>
    </row>
    <row r="32" spans="1:31" ht="35.25" customHeight="1">
      <c r="A32" s="24" t="s">
        <v>163</v>
      </c>
      <c r="B32" s="7">
        <v>21</v>
      </c>
      <c r="C32" s="57">
        <f>D31</f>
        <v>1375</v>
      </c>
      <c r="D32" s="57">
        <v>1348</v>
      </c>
      <c r="E32" s="57">
        <f t="shared" ref="E32:E40" si="29">C32-D32</f>
        <v>27</v>
      </c>
      <c r="F32" s="57">
        <f t="shared" si="22"/>
        <v>43.452288000000003</v>
      </c>
      <c r="G32" s="57"/>
      <c r="H32" s="59">
        <f t="shared" si="23"/>
        <v>43.452288000000003</v>
      </c>
      <c r="I32" s="57">
        <f t="shared" si="24"/>
        <v>3237.3907840000006</v>
      </c>
      <c r="J32" s="57">
        <v>4.3</v>
      </c>
      <c r="K32" s="57">
        <f t="shared" si="25"/>
        <v>5.0466666666666669</v>
      </c>
      <c r="L32" s="61">
        <f t="shared" si="26"/>
        <v>1.4098533333333334</v>
      </c>
      <c r="M32" s="17">
        <f t="shared" ref="M32:M40" si="30">H32</f>
        <v>43.452288000000003</v>
      </c>
      <c r="N32" s="17">
        <v>757</v>
      </c>
      <c r="O32" s="66">
        <v>30</v>
      </c>
      <c r="P32" s="66">
        <v>577</v>
      </c>
      <c r="Q32" s="13">
        <v>0.9</v>
      </c>
      <c r="R32" s="66">
        <f t="shared" si="5"/>
        <v>7</v>
      </c>
      <c r="S32" s="15" t="str">
        <f>VLOOKUP(R32,'alim continu'!$A$6:$B$12,2)</f>
        <v>Sa</v>
      </c>
      <c r="T32" s="18">
        <f t="shared" si="6"/>
        <v>42595.089999999982</v>
      </c>
      <c r="U32" s="52">
        <f t="shared" si="27"/>
        <v>42595.089999999982</v>
      </c>
      <c r="V32" s="66">
        <f t="shared" si="8"/>
        <v>7</v>
      </c>
      <c r="W32" s="19" t="str">
        <f>VLOOKUP(V32,'alim continu'!$A$6:$B$12,2)</f>
        <v>Sa</v>
      </c>
      <c r="X32" s="20">
        <f t="shared" si="9"/>
        <v>42595.989999999983</v>
      </c>
      <c r="Y32" s="52">
        <f t="shared" si="0"/>
        <v>42595.989999999983</v>
      </c>
      <c r="Z32" s="19">
        <v>0.2</v>
      </c>
      <c r="AA32" s="49">
        <f t="shared" si="28"/>
        <v>4</v>
      </c>
      <c r="AB32" s="35" t="s">
        <v>166</v>
      </c>
      <c r="AC32" s="21"/>
      <c r="AD32" s="25" t="s">
        <v>83</v>
      </c>
      <c r="AE32" s="3" t="s">
        <v>76</v>
      </c>
    </row>
    <row r="33" spans="1:31" ht="28.5" customHeight="1">
      <c r="A33" s="24" t="s">
        <v>164</v>
      </c>
      <c r="B33" s="7">
        <v>20</v>
      </c>
      <c r="C33" s="57">
        <f t="shared" ref="C33:C40" si="31">D32</f>
        <v>1348</v>
      </c>
      <c r="D33" s="57">
        <v>1265</v>
      </c>
      <c r="E33" s="57">
        <f t="shared" si="29"/>
        <v>83</v>
      </c>
      <c r="F33" s="57">
        <f t="shared" ref="F33:F40" si="32">E33*1.609344</f>
        <v>133.57555200000002</v>
      </c>
      <c r="G33" s="57"/>
      <c r="H33" s="59">
        <f t="shared" ref="H33:H40" si="33">F33+G33</f>
        <v>133.57555200000002</v>
      </c>
      <c r="I33" s="57">
        <f t="shared" ref="I33:I39" si="34">I34+H33</f>
        <v>4250.200960000001</v>
      </c>
      <c r="J33" s="57">
        <v>4.3</v>
      </c>
      <c r="K33" s="57">
        <f t="shared" ref="K33:K40" si="35">(N33/300)*2</f>
        <v>20.88</v>
      </c>
      <c r="L33" s="61">
        <f t="shared" ref="L33:L40" si="36">(H33+K33)/(J33*8)</f>
        <v>4.4899869767441869</v>
      </c>
      <c r="M33" s="17">
        <f t="shared" si="30"/>
        <v>133.57555200000002</v>
      </c>
      <c r="N33" s="17">
        <v>3132</v>
      </c>
      <c r="O33" s="46">
        <v>30</v>
      </c>
      <c r="P33" s="46">
        <v>682</v>
      </c>
      <c r="Q33" s="13">
        <v>4.5999999999999996</v>
      </c>
      <c r="R33" s="46">
        <f t="shared" ref="R33:R40" si="37">WEEKDAY(U33)</f>
        <v>1</v>
      </c>
      <c r="S33" s="15" t="str">
        <f>VLOOKUP(R33,'alim continu'!$A$6:$B$12,2)</f>
        <v>Di</v>
      </c>
      <c r="T33" s="18">
        <f t="shared" ref="T33:T40" si="38">U33</f>
        <v>42596.189999999981</v>
      </c>
      <c r="U33" s="52">
        <f t="shared" ref="U33:U40" si="39">Y32+Z32</f>
        <v>42596.189999999981</v>
      </c>
      <c r="V33" s="66">
        <f t="shared" ref="V33:V40" si="40">WEEKDAY(Y33)</f>
        <v>5</v>
      </c>
      <c r="W33" s="19" t="str">
        <f>VLOOKUP(V33,'alim continu'!$A$6:$B$12,2)</f>
        <v>Je</v>
      </c>
      <c r="X33" s="20">
        <f t="shared" ref="X33:X40" si="41">Y33</f>
        <v>42600.789999999979</v>
      </c>
      <c r="Y33" s="52">
        <f t="shared" ref="Y33:Y40" si="42">U33+Q33</f>
        <v>42600.789999999979</v>
      </c>
      <c r="Z33" s="19">
        <v>1.3</v>
      </c>
      <c r="AA33" s="49">
        <f t="shared" ref="AA33:AA39" si="43">AA34+Q33+Z33</f>
        <v>51.3</v>
      </c>
      <c r="AB33" s="73" t="s">
        <v>167</v>
      </c>
      <c r="AC33" s="21">
        <f>Q33+Q32+Q31</f>
        <v>8</v>
      </c>
      <c r="AD33" s="25" t="s">
        <v>78</v>
      </c>
      <c r="AE33" s="2" t="s">
        <v>79</v>
      </c>
    </row>
    <row r="34" spans="1:31" ht="31.5" customHeight="1">
      <c r="A34" s="24" t="s">
        <v>227</v>
      </c>
      <c r="B34" s="7">
        <v>19</v>
      </c>
      <c r="C34" s="57">
        <f t="shared" si="31"/>
        <v>1265</v>
      </c>
      <c r="D34" s="57">
        <v>1196</v>
      </c>
      <c r="E34" s="57">
        <f t="shared" si="29"/>
        <v>69</v>
      </c>
      <c r="F34" s="57">
        <f t="shared" si="32"/>
        <v>111.044736</v>
      </c>
      <c r="G34" s="57"/>
      <c r="H34" s="59">
        <f t="shared" si="33"/>
        <v>111.044736</v>
      </c>
      <c r="I34" s="57">
        <f t="shared" si="34"/>
        <v>4116.6254080000008</v>
      </c>
      <c r="J34" s="57">
        <v>4.3</v>
      </c>
      <c r="K34" s="57">
        <f t="shared" si="35"/>
        <v>17.14</v>
      </c>
      <c r="L34" s="61">
        <f t="shared" si="36"/>
        <v>3.726300465116279</v>
      </c>
      <c r="M34" s="17">
        <f t="shared" si="30"/>
        <v>111.044736</v>
      </c>
      <c r="N34" s="17">
        <v>2571</v>
      </c>
      <c r="O34" s="46">
        <v>30</v>
      </c>
      <c r="P34" s="46">
        <v>647</v>
      </c>
      <c r="Q34" s="13">
        <v>3.5</v>
      </c>
      <c r="R34" s="46">
        <f t="shared" si="37"/>
        <v>7</v>
      </c>
      <c r="S34" s="15" t="str">
        <f>VLOOKUP(R34,'alim continu'!$A$6:$B$12,2)</f>
        <v>Sa</v>
      </c>
      <c r="T34" s="18">
        <f t="shared" si="38"/>
        <v>42602.089999999982</v>
      </c>
      <c r="U34" s="52">
        <f t="shared" si="39"/>
        <v>42602.089999999982</v>
      </c>
      <c r="V34" s="66">
        <f t="shared" si="40"/>
        <v>3</v>
      </c>
      <c r="W34" s="19" t="str">
        <f>VLOOKUP(V34,'alim continu'!$A$6:$B$12,2)</f>
        <v>Ma</v>
      </c>
      <c r="X34" s="20">
        <f t="shared" si="41"/>
        <v>42605.589999999982</v>
      </c>
      <c r="Y34" s="52">
        <f t="shared" si="42"/>
        <v>42605.589999999982</v>
      </c>
      <c r="Z34" s="19">
        <v>0.5</v>
      </c>
      <c r="AA34" s="49">
        <f t="shared" si="43"/>
        <v>45.4</v>
      </c>
      <c r="AB34" s="38" t="s">
        <v>168</v>
      </c>
      <c r="AC34" s="22"/>
      <c r="AD34" s="25" t="s">
        <v>74</v>
      </c>
      <c r="AE34" s="1" t="s">
        <v>72</v>
      </c>
    </row>
    <row r="35" spans="1:31" ht="35.25" customHeight="1">
      <c r="A35" s="24" t="s">
        <v>228</v>
      </c>
      <c r="B35" s="7">
        <v>18</v>
      </c>
      <c r="C35" s="57">
        <f t="shared" si="31"/>
        <v>1196</v>
      </c>
      <c r="D35" s="57">
        <v>1091</v>
      </c>
      <c r="E35" s="57">
        <f t="shared" si="29"/>
        <v>105</v>
      </c>
      <c r="F35" s="57">
        <f t="shared" si="32"/>
        <v>168.98112</v>
      </c>
      <c r="G35" s="57">
        <v>3</v>
      </c>
      <c r="H35" s="59">
        <f t="shared" si="33"/>
        <v>171.98112</v>
      </c>
      <c r="I35" s="57">
        <f t="shared" si="34"/>
        <v>4005.580672000001</v>
      </c>
      <c r="J35" s="57">
        <v>4.3</v>
      </c>
      <c r="K35" s="57">
        <f t="shared" si="35"/>
        <v>28.166666666666668</v>
      </c>
      <c r="L35" s="61">
        <f t="shared" si="36"/>
        <v>5.8182496124031005</v>
      </c>
      <c r="M35" s="17">
        <f t="shared" si="30"/>
        <v>171.98112</v>
      </c>
      <c r="N35" s="17">
        <v>4225</v>
      </c>
      <c r="O35" s="46">
        <v>29</v>
      </c>
      <c r="P35" s="46">
        <v>724</v>
      </c>
      <c r="Q35" s="13">
        <v>5.7</v>
      </c>
      <c r="R35" s="46">
        <f t="shared" si="37"/>
        <v>4</v>
      </c>
      <c r="S35" s="15" t="str">
        <f>VLOOKUP(R35,'alim continu'!$A$6:$B$12,2)</f>
        <v>Me</v>
      </c>
      <c r="T35" s="18">
        <f t="shared" si="38"/>
        <v>42606.089999999982</v>
      </c>
      <c r="U35" s="52">
        <f t="shared" si="39"/>
        <v>42606.089999999982</v>
      </c>
      <c r="V35" s="66">
        <f t="shared" si="40"/>
        <v>2</v>
      </c>
      <c r="W35" s="19" t="str">
        <f>VLOOKUP(V35,'alim continu'!$A$6:$B$12,2)</f>
        <v>Lu</v>
      </c>
      <c r="X35" s="20">
        <f t="shared" si="41"/>
        <v>42611.789999999979</v>
      </c>
      <c r="Y35" s="52">
        <f t="shared" si="42"/>
        <v>42611.789999999979</v>
      </c>
      <c r="Z35" s="19">
        <v>1.4</v>
      </c>
      <c r="AA35" s="49">
        <f t="shared" si="43"/>
        <v>41.4</v>
      </c>
      <c r="AB35" s="35"/>
      <c r="AC35" s="22">
        <f>Q35+Q34</f>
        <v>9.1999999999999993</v>
      </c>
      <c r="AD35" s="25" t="s">
        <v>71</v>
      </c>
      <c r="AE35" s="38" t="s">
        <v>144</v>
      </c>
    </row>
    <row r="36" spans="1:31" ht="46.5" customHeight="1">
      <c r="A36" s="24" t="s">
        <v>229</v>
      </c>
      <c r="B36" s="7">
        <v>17</v>
      </c>
      <c r="C36" s="57">
        <f t="shared" si="31"/>
        <v>1091</v>
      </c>
      <c r="D36" s="57">
        <v>1017</v>
      </c>
      <c r="E36" s="57">
        <f t="shared" si="29"/>
        <v>74</v>
      </c>
      <c r="F36" s="57">
        <f t="shared" si="32"/>
        <v>119.09145600000001</v>
      </c>
      <c r="G36" s="57"/>
      <c r="H36" s="59">
        <f t="shared" si="33"/>
        <v>119.09145600000001</v>
      </c>
      <c r="I36" s="57">
        <f t="shared" si="34"/>
        <v>3833.599552000001</v>
      </c>
      <c r="J36" s="57">
        <v>4.3</v>
      </c>
      <c r="K36" s="57">
        <f t="shared" si="35"/>
        <v>19.813333333333333</v>
      </c>
      <c r="L36" s="61">
        <f t="shared" si="36"/>
        <v>4.03792992248062</v>
      </c>
      <c r="M36" s="17">
        <f t="shared" si="30"/>
        <v>119.09145600000001</v>
      </c>
      <c r="N36" s="17">
        <v>2972</v>
      </c>
      <c r="O36" s="46">
        <v>29</v>
      </c>
      <c r="P36" s="46">
        <v>715</v>
      </c>
      <c r="Q36" s="13">
        <v>3.8</v>
      </c>
      <c r="R36" s="46">
        <f t="shared" si="37"/>
        <v>4</v>
      </c>
      <c r="S36" s="15" t="str">
        <f>VLOOKUP(R36,'alim continu'!$A$6:$B$12,2)</f>
        <v>Me</v>
      </c>
      <c r="T36" s="18">
        <f t="shared" si="38"/>
        <v>42613.189999999981</v>
      </c>
      <c r="U36" s="52">
        <f t="shared" si="39"/>
        <v>42613.189999999981</v>
      </c>
      <c r="V36" s="66">
        <f t="shared" si="40"/>
        <v>7</v>
      </c>
      <c r="W36" s="19" t="str">
        <f>VLOOKUP(V36,'alim continu'!$A$6:$B$12,2)</f>
        <v>Sa</v>
      </c>
      <c r="X36" s="20">
        <f t="shared" si="41"/>
        <v>42616.989999999983</v>
      </c>
      <c r="Y36" s="52">
        <f t="shared" si="42"/>
        <v>42616.989999999983</v>
      </c>
      <c r="Z36" s="19">
        <v>0.4</v>
      </c>
      <c r="AA36" s="49">
        <f t="shared" si="43"/>
        <v>34.299999999999997</v>
      </c>
      <c r="AB36" s="38"/>
      <c r="AC36" s="21"/>
      <c r="AD36" s="11" t="s">
        <v>70</v>
      </c>
      <c r="AE36" s="53" t="s">
        <v>143</v>
      </c>
    </row>
    <row r="37" spans="1:31" ht="37.5" customHeight="1">
      <c r="A37" s="24" t="s">
        <v>230</v>
      </c>
      <c r="B37" s="7">
        <v>16</v>
      </c>
      <c r="C37" s="57">
        <f t="shared" si="31"/>
        <v>1017</v>
      </c>
      <c r="D37" s="57">
        <v>942</v>
      </c>
      <c r="E37" s="57">
        <f t="shared" si="29"/>
        <v>75</v>
      </c>
      <c r="F37" s="57">
        <f t="shared" si="32"/>
        <v>120.70080000000002</v>
      </c>
      <c r="G37" s="57"/>
      <c r="H37" s="59">
        <f t="shared" si="33"/>
        <v>120.70080000000002</v>
      </c>
      <c r="I37" s="57">
        <f t="shared" si="34"/>
        <v>3714.5080960000009</v>
      </c>
      <c r="J37" s="57">
        <v>4.3</v>
      </c>
      <c r="K37" s="57">
        <f t="shared" si="35"/>
        <v>22.806666666666668</v>
      </c>
      <c r="L37" s="61">
        <f t="shared" si="36"/>
        <v>4.171728682170543</v>
      </c>
      <c r="M37" s="17">
        <f t="shared" si="30"/>
        <v>120.70080000000002</v>
      </c>
      <c r="N37" s="17">
        <v>3421</v>
      </c>
      <c r="O37" s="46">
        <v>29</v>
      </c>
      <c r="P37" s="46">
        <v>797</v>
      </c>
      <c r="Q37" s="13">
        <v>4.3</v>
      </c>
      <c r="R37" s="46">
        <f t="shared" si="37"/>
        <v>1</v>
      </c>
      <c r="S37" s="15" t="str">
        <f>VLOOKUP(R37,'alim continu'!$A$6:$B$12,2)</f>
        <v>Di</v>
      </c>
      <c r="T37" s="18">
        <f t="shared" si="38"/>
        <v>42617.389999999985</v>
      </c>
      <c r="U37" s="52">
        <f t="shared" si="39"/>
        <v>42617.389999999985</v>
      </c>
      <c r="V37" s="66">
        <f t="shared" si="40"/>
        <v>5</v>
      </c>
      <c r="W37" s="19" t="str">
        <f>VLOOKUP(V37,'alim continu'!$A$6:$B$12,2)</f>
        <v>Je</v>
      </c>
      <c r="X37" s="20">
        <f t="shared" si="41"/>
        <v>42621.689999999988</v>
      </c>
      <c r="Y37" s="52">
        <f t="shared" si="42"/>
        <v>42621.689999999988</v>
      </c>
      <c r="Z37" s="19">
        <v>0.4</v>
      </c>
      <c r="AA37" s="49">
        <f t="shared" si="43"/>
        <v>30.099999999999998</v>
      </c>
      <c r="AB37" s="127"/>
      <c r="AC37" s="21">
        <f>Q37+Q36</f>
        <v>8.1</v>
      </c>
      <c r="AD37" s="11" t="s">
        <v>68</v>
      </c>
      <c r="AE37" s="1" t="s">
        <v>226</v>
      </c>
    </row>
    <row r="38" spans="1:31" ht="60" customHeight="1">
      <c r="A38" s="24" t="s">
        <v>231</v>
      </c>
      <c r="B38" s="7">
        <v>15</v>
      </c>
      <c r="C38" s="57">
        <f t="shared" si="31"/>
        <v>942</v>
      </c>
      <c r="D38" s="57">
        <v>879</v>
      </c>
      <c r="E38" s="57">
        <f t="shared" si="29"/>
        <v>63</v>
      </c>
      <c r="F38" s="57">
        <f t="shared" si="32"/>
        <v>101.38867200000001</v>
      </c>
      <c r="G38" s="57">
        <v>3</v>
      </c>
      <c r="H38" s="59">
        <f t="shared" si="33"/>
        <v>104.38867200000001</v>
      </c>
      <c r="I38" s="57">
        <f t="shared" si="34"/>
        <v>3593.8072960000009</v>
      </c>
      <c r="J38" s="57">
        <v>4.3</v>
      </c>
      <c r="K38" s="57">
        <f t="shared" si="35"/>
        <v>17</v>
      </c>
      <c r="L38" s="61">
        <f t="shared" si="36"/>
        <v>3.5287404651162797</v>
      </c>
      <c r="M38" s="17">
        <f t="shared" si="30"/>
        <v>104.38867200000001</v>
      </c>
      <c r="N38" s="17">
        <v>2550</v>
      </c>
      <c r="O38" s="46">
        <v>29</v>
      </c>
      <c r="P38" s="46">
        <v>702</v>
      </c>
      <c r="Q38" s="13">
        <v>3.8</v>
      </c>
      <c r="R38" s="46">
        <f t="shared" si="37"/>
        <v>6</v>
      </c>
      <c r="S38" s="15" t="str">
        <f>VLOOKUP(R38,'alim continu'!$A$6:$B$12,2)</f>
        <v>Ve</v>
      </c>
      <c r="T38" s="18">
        <f t="shared" si="38"/>
        <v>42622.089999999989</v>
      </c>
      <c r="U38" s="52">
        <f t="shared" si="39"/>
        <v>42622.089999999989</v>
      </c>
      <c r="V38" s="66">
        <f t="shared" si="40"/>
        <v>2</v>
      </c>
      <c r="W38" s="19" t="str">
        <f>VLOOKUP(V38,'alim continu'!$A$6:$B$12,2)</f>
        <v>Lu</v>
      </c>
      <c r="X38" s="20">
        <f t="shared" si="41"/>
        <v>42625.889999999992</v>
      </c>
      <c r="Y38" s="52">
        <f t="shared" si="42"/>
        <v>42625.889999999992</v>
      </c>
      <c r="Z38" s="19">
        <v>1.2</v>
      </c>
      <c r="AA38" s="49">
        <f t="shared" si="43"/>
        <v>25.4</v>
      </c>
      <c r="AB38" s="35"/>
      <c r="AC38" s="22">
        <f>Q38</f>
        <v>3.8</v>
      </c>
      <c r="AD38" s="11" t="s">
        <v>67</v>
      </c>
      <c r="AE38" s="2" t="s">
        <v>169</v>
      </c>
    </row>
    <row r="39" spans="1:31" ht="49.5" customHeight="1">
      <c r="A39" s="24" t="s">
        <v>232</v>
      </c>
      <c r="B39" s="7">
        <v>14</v>
      </c>
      <c r="C39" s="57">
        <f t="shared" si="31"/>
        <v>879</v>
      </c>
      <c r="D39" s="57">
        <v>789</v>
      </c>
      <c r="E39" s="57">
        <f t="shared" si="29"/>
        <v>90</v>
      </c>
      <c r="F39" s="57">
        <f t="shared" si="32"/>
        <v>144.84096</v>
      </c>
      <c r="G39" s="57">
        <v>25</v>
      </c>
      <c r="H39" s="59">
        <f t="shared" si="33"/>
        <v>169.84096</v>
      </c>
      <c r="I39" s="57">
        <f t="shared" si="34"/>
        <v>3489.4186240000008</v>
      </c>
      <c r="J39" s="57">
        <v>4.3</v>
      </c>
      <c r="K39" s="57">
        <f t="shared" si="35"/>
        <v>36.073333333333331</v>
      </c>
      <c r="L39" s="61">
        <f t="shared" si="36"/>
        <v>5.9858806201550383</v>
      </c>
      <c r="M39" s="17">
        <f t="shared" si="30"/>
        <v>169.84096</v>
      </c>
      <c r="N39" s="17">
        <v>5411</v>
      </c>
      <c r="O39" s="46">
        <v>27</v>
      </c>
      <c r="P39" s="46">
        <v>1031</v>
      </c>
      <c r="Q39" s="13">
        <v>5.8</v>
      </c>
      <c r="R39" s="46">
        <f t="shared" si="37"/>
        <v>4</v>
      </c>
      <c r="S39" s="15" t="str">
        <f>VLOOKUP(R39,'alim continu'!$A$6:$B$12,2)</f>
        <v>Me</v>
      </c>
      <c r="T39" s="18">
        <f t="shared" si="38"/>
        <v>42627.089999999989</v>
      </c>
      <c r="U39" s="52">
        <f t="shared" si="39"/>
        <v>42627.089999999989</v>
      </c>
      <c r="V39" s="66">
        <f t="shared" si="40"/>
        <v>2</v>
      </c>
      <c r="W39" s="19" t="str">
        <f>VLOOKUP(V39,'alim continu'!$A$6:$B$12,2)</f>
        <v>Lu</v>
      </c>
      <c r="X39" s="20">
        <f t="shared" si="41"/>
        <v>42632.889999999992</v>
      </c>
      <c r="Y39" s="52">
        <f t="shared" si="42"/>
        <v>42632.889999999992</v>
      </c>
      <c r="Z39" s="19">
        <v>1.2</v>
      </c>
      <c r="AA39" s="49">
        <f t="shared" si="43"/>
        <v>20.399999999999999</v>
      </c>
      <c r="AB39" s="35"/>
      <c r="AC39" s="21">
        <f>Q39</f>
        <v>5.8</v>
      </c>
      <c r="AD39" s="11" t="s">
        <v>66</v>
      </c>
      <c r="AE39" s="2" t="s">
        <v>142</v>
      </c>
    </row>
    <row r="40" spans="1:31" ht="48.75" customHeight="1" thickBot="1">
      <c r="A40" s="24" t="s">
        <v>233</v>
      </c>
      <c r="B40" s="7">
        <v>13</v>
      </c>
      <c r="C40" s="57">
        <f t="shared" si="31"/>
        <v>789</v>
      </c>
      <c r="D40" s="57">
        <v>745</v>
      </c>
      <c r="E40" s="57">
        <f t="shared" si="29"/>
        <v>44</v>
      </c>
      <c r="F40" s="57">
        <f t="shared" si="32"/>
        <v>70.811136000000005</v>
      </c>
      <c r="G40" s="57">
        <v>25</v>
      </c>
      <c r="H40" s="59">
        <f t="shared" si="33"/>
        <v>95.811136000000005</v>
      </c>
      <c r="I40" s="57">
        <f>I16+H40</f>
        <v>3319.5776640000008</v>
      </c>
      <c r="J40" s="57">
        <v>4.3</v>
      </c>
      <c r="K40" s="57">
        <f t="shared" si="35"/>
        <v>13.34</v>
      </c>
      <c r="L40" s="61">
        <f t="shared" si="36"/>
        <v>3.1729981395348843</v>
      </c>
      <c r="M40" s="17">
        <f t="shared" si="30"/>
        <v>95.811136000000005</v>
      </c>
      <c r="N40" s="17">
        <v>2001</v>
      </c>
      <c r="O40" s="46">
        <v>29</v>
      </c>
      <c r="P40" s="46">
        <v>780</v>
      </c>
      <c r="Q40" s="27">
        <v>3.3</v>
      </c>
      <c r="R40" s="46">
        <f t="shared" si="37"/>
        <v>4</v>
      </c>
      <c r="S40" s="15" t="str">
        <f>VLOOKUP(R40,'alim continu'!$A$6:$B$12,2)</f>
        <v>Me</v>
      </c>
      <c r="T40" s="18">
        <f t="shared" si="38"/>
        <v>42634.089999999989</v>
      </c>
      <c r="U40" s="52">
        <f t="shared" si="39"/>
        <v>42634.089999999989</v>
      </c>
      <c r="V40" s="66">
        <f t="shared" si="40"/>
        <v>7</v>
      </c>
      <c r="W40" s="19" t="str">
        <f>VLOOKUP(V40,'alim continu'!$A$6:$B$12,2)</f>
        <v>Sa</v>
      </c>
      <c r="X40" s="20">
        <f t="shared" si="41"/>
        <v>42637.389999999992</v>
      </c>
      <c r="Y40" s="52">
        <f t="shared" si="42"/>
        <v>42637.389999999992</v>
      </c>
      <c r="Z40" s="71">
        <v>4</v>
      </c>
      <c r="AA40" s="49">
        <f>AA16+Q40+Z40</f>
        <v>13.399999999999999</v>
      </c>
      <c r="AB40" s="35"/>
      <c r="AC40" s="22">
        <f>Q40</f>
        <v>3.3</v>
      </c>
      <c r="AD40" s="11" t="s">
        <v>65</v>
      </c>
      <c r="AE40" s="1" t="s">
        <v>235</v>
      </c>
    </row>
    <row r="41" spans="1:31" ht="12.75" thickBo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9">
        <f>SUM(Q5:Q40)</f>
        <v>138.39000000000001</v>
      </c>
      <c r="R41" s="12"/>
      <c r="S41" s="12"/>
      <c r="T41" s="12"/>
      <c r="U41" s="12"/>
      <c r="V41" s="12"/>
      <c r="W41" s="12"/>
      <c r="X41" s="12"/>
      <c r="Y41" s="12"/>
      <c r="Z41" s="128">
        <f>SUM(Z5:Z40)</f>
        <v>44</v>
      </c>
      <c r="AA41" s="12"/>
      <c r="AB41" s="12"/>
      <c r="AD41" s="12"/>
      <c r="AE41" s="12"/>
    </row>
    <row r="42" spans="1:3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D42" s="12"/>
      <c r="AE42" s="12"/>
    </row>
    <row r="43" spans="1:3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D43" s="12"/>
      <c r="AE43" s="12"/>
    </row>
  </sheetData>
  <mergeCells count="15">
    <mergeCell ref="P1:AD1"/>
    <mergeCell ref="S2:T3"/>
    <mergeCell ref="W2:X3"/>
    <mergeCell ref="AE2:AE4"/>
    <mergeCell ref="A3:A4"/>
    <mergeCell ref="M3:M4"/>
    <mergeCell ref="N3:N4"/>
    <mergeCell ref="O3:O4"/>
    <mergeCell ref="P3:P4"/>
    <mergeCell ref="U3:U4"/>
    <mergeCell ref="Y3:Y4"/>
    <mergeCell ref="Z2:Z3"/>
    <mergeCell ref="AA2:AA3"/>
    <mergeCell ref="AB2:AB4"/>
    <mergeCell ref="AD3:AD4"/>
  </mergeCells>
  <pageMargins left="0.11811023622047245" right="0.11811023622047245" top="0.15748031496062992" bottom="0.15748031496062992" header="0.11811023622047245" footer="0.19685039370078741"/>
  <pageSetup paperSize="9" scale="9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2"/>
  <sheetViews>
    <sheetView topLeftCell="C1" workbookViewId="0">
      <pane ySplit="4" topLeftCell="A5" activePane="bottomLeft" state="frozen"/>
      <selection pane="bottomLeft" activeCell="C24" sqref="C24"/>
    </sheetView>
  </sheetViews>
  <sheetFormatPr baseColWidth="10" defaultRowHeight="14.25"/>
  <cols>
    <col min="1" max="1" width="6.140625" style="79" hidden="1" customWidth="1"/>
    <col min="2" max="2" width="4.42578125" style="79" hidden="1" customWidth="1"/>
    <col min="3" max="3" width="37.85546875" style="130" customWidth="1"/>
    <col min="4" max="4" width="4.85546875" style="130" customWidth="1"/>
    <col min="5" max="5" width="4.140625" style="131" customWidth="1"/>
    <col min="6" max="6" width="6.140625" style="130" customWidth="1"/>
    <col min="7" max="7" width="3.7109375" style="130" customWidth="1"/>
    <col min="8" max="8" width="5.5703125" style="130" customWidth="1"/>
    <col min="9" max="9" width="5.85546875" style="130" customWidth="1"/>
    <col min="10" max="10" width="5.7109375" style="158" customWidth="1"/>
    <col min="11" max="11" width="5.42578125" style="130" customWidth="1"/>
    <col min="12" max="12" width="5.140625" style="130" customWidth="1"/>
    <col min="13" max="14" width="5.5703125" style="130" customWidth="1"/>
    <col min="15" max="15" width="5.85546875" style="130" customWidth="1"/>
    <col min="16" max="16" width="5.42578125" style="130" customWidth="1"/>
    <col min="17" max="17" width="4.5703125" style="158" customWidth="1"/>
    <col min="18" max="18" width="5.85546875" style="130" customWidth="1"/>
    <col min="19" max="19" width="5.5703125" style="130" customWidth="1"/>
    <col min="20" max="20" width="6.28515625" style="130" customWidth="1"/>
    <col min="21" max="21" width="4.5703125" style="130" customWidth="1"/>
    <col min="22" max="22" width="5.7109375" style="130" customWidth="1"/>
    <col min="23" max="23" width="4.140625" style="79" customWidth="1"/>
    <col min="24" max="24" width="11.42578125" style="130"/>
    <col min="25" max="25" width="9.140625" style="130" customWidth="1"/>
    <col min="26" max="26" width="5.85546875" style="130" customWidth="1"/>
    <col min="27" max="27" width="5.140625" style="130" customWidth="1"/>
    <col min="28" max="28" width="6" style="130" customWidth="1"/>
    <col min="29" max="29" width="5.5703125" style="130" customWidth="1"/>
    <col min="30" max="30" width="5.7109375" style="130" customWidth="1"/>
    <col min="31" max="31" width="5.42578125" style="130" customWidth="1"/>
    <col min="32" max="32" width="7.5703125" style="130" customWidth="1"/>
    <col min="33" max="34" width="9.140625" style="130" customWidth="1"/>
    <col min="35" max="35" width="10.28515625" style="130" customWidth="1"/>
    <col min="36" max="16384" width="11.42578125" style="79"/>
  </cols>
  <sheetData>
    <row r="1" spans="1:23">
      <c r="I1" s="214" t="s">
        <v>254</v>
      </c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3">
      <c r="F2" s="211" t="s">
        <v>125</v>
      </c>
      <c r="G2" s="211"/>
      <c r="H2" s="212" t="s">
        <v>130</v>
      </c>
      <c r="I2" s="212"/>
      <c r="J2" s="212"/>
      <c r="K2" s="212"/>
      <c r="L2" s="212"/>
      <c r="M2" s="212"/>
      <c r="N2" s="215" t="s">
        <v>115</v>
      </c>
      <c r="O2" s="216"/>
      <c r="P2" s="216"/>
      <c r="Q2" s="216"/>
      <c r="R2" s="216"/>
      <c r="S2" s="216"/>
      <c r="T2" s="216"/>
      <c r="U2" s="216"/>
      <c r="V2" s="132"/>
    </row>
    <row r="3" spans="1:23">
      <c r="C3" s="133" t="s">
        <v>114</v>
      </c>
      <c r="D3" s="134" t="s">
        <v>252</v>
      </c>
      <c r="E3" s="135" t="s">
        <v>253</v>
      </c>
      <c r="F3" s="134" t="s">
        <v>116</v>
      </c>
      <c r="G3" s="134" t="s">
        <v>117</v>
      </c>
      <c r="H3" s="134" t="s">
        <v>118</v>
      </c>
      <c r="I3" s="136" t="s">
        <v>119</v>
      </c>
      <c r="J3" s="134" t="s">
        <v>122</v>
      </c>
      <c r="K3" s="137" t="s">
        <v>120</v>
      </c>
      <c r="L3" s="134" t="s">
        <v>121</v>
      </c>
      <c r="M3" s="138" t="s">
        <v>128</v>
      </c>
      <c r="N3" s="134" t="s">
        <v>123</v>
      </c>
      <c r="O3" s="134" t="s">
        <v>262</v>
      </c>
      <c r="P3" s="134" t="s">
        <v>129</v>
      </c>
      <c r="Q3" s="134" t="s">
        <v>124</v>
      </c>
      <c r="R3" s="138" t="s">
        <v>128</v>
      </c>
      <c r="S3" s="137" t="s">
        <v>120</v>
      </c>
      <c r="T3" s="136" t="s">
        <v>119</v>
      </c>
      <c r="U3" s="134"/>
      <c r="V3" s="134" t="s">
        <v>135</v>
      </c>
    </row>
    <row r="4" spans="1:23">
      <c r="C4" s="133"/>
      <c r="D4" s="134">
        <v>1</v>
      </c>
      <c r="E4" s="135"/>
      <c r="F4" s="139">
        <f>achats!D42</f>
        <v>100</v>
      </c>
      <c r="G4" s="139">
        <f>achats!D41</f>
        <v>1</v>
      </c>
      <c r="H4" s="139">
        <f>achats!F35/20</f>
        <v>5</v>
      </c>
      <c r="I4" s="139">
        <f>achats!F34</f>
        <v>50</v>
      </c>
      <c r="J4" s="134">
        <f>achats!F$43/100</f>
        <v>1</v>
      </c>
      <c r="K4" s="139">
        <f>achats!F40</f>
        <v>50</v>
      </c>
      <c r="L4" s="139">
        <f>achats!F$45</f>
        <v>30</v>
      </c>
      <c r="M4" s="139">
        <f>achats!F$37</f>
        <v>50</v>
      </c>
      <c r="N4" s="139">
        <f>achats!H38</f>
        <v>20</v>
      </c>
      <c r="O4" s="139">
        <f>achats!F33+achats!H33</f>
        <v>50</v>
      </c>
      <c r="P4" s="139">
        <f>achats!H44</f>
        <v>50</v>
      </c>
      <c r="Q4" s="134">
        <f>achats!H36/136</f>
        <v>1</v>
      </c>
      <c r="R4" s="140">
        <f>achats!H37</f>
        <v>50</v>
      </c>
      <c r="S4" s="140">
        <f>achats!H40</f>
        <v>50</v>
      </c>
      <c r="T4" s="140">
        <f>achats!H34</f>
        <v>50</v>
      </c>
      <c r="U4" s="77"/>
      <c r="V4" s="77"/>
    </row>
    <row r="5" spans="1:23">
      <c r="C5" s="141" t="s">
        <v>127</v>
      </c>
      <c r="D5" s="142" t="s">
        <v>272</v>
      </c>
      <c r="F5" s="143">
        <f>SUM(F6:F41)</f>
        <v>15000</v>
      </c>
      <c r="G5" s="143">
        <f t="shared" ref="G5:T5" si="0">SUM(G6:G41)</f>
        <v>150</v>
      </c>
      <c r="H5" s="143">
        <f t="shared" si="0"/>
        <v>750</v>
      </c>
      <c r="I5" s="143">
        <f t="shared" si="0"/>
        <v>7500</v>
      </c>
      <c r="J5" s="144">
        <f t="shared" si="0"/>
        <v>150</v>
      </c>
      <c r="K5" s="143">
        <f t="shared" si="0"/>
        <v>7500</v>
      </c>
      <c r="L5" s="143">
        <f t="shared" si="0"/>
        <v>4500</v>
      </c>
      <c r="M5" s="143">
        <f t="shared" si="0"/>
        <v>7500</v>
      </c>
      <c r="N5" s="143">
        <f t="shared" si="0"/>
        <v>2340</v>
      </c>
      <c r="O5" s="143">
        <f t="shared" si="0"/>
        <v>5900</v>
      </c>
      <c r="P5" s="143">
        <f t="shared" si="0"/>
        <v>5850</v>
      </c>
      <c r="Q5" s="144">
        <f t="shared" si="0"/>
        <v>121</v>
      </c>
      <c r="R5" s="143">
        <f t="shared" si="0"/>
        <v>5900</v>
      </c>
      <c r="S5" s="143">
        <f t="shared" si="0"/>
        <v>6050</v>
      </c>
      <c r="T5" s="143">
        <f t="shared" si="0"/>
        <v>5900</v>
      </c>
    </row>
    <row r="6" spans="1:23">
      <c r="A6" s="80">
        <v>1</v>
      </c>
      <c r="B6" s="79" t="s">
        <v>55</v>
      </c>
      <c r="C6" s="42" t="s">
        <v>35</v>
      </c>
      <c r="D6" s="23">
        <v>1</v>
      </c>
      <c r="E6" s="7">
        <f>'Sierra décalée'!Q5</f>
        <v>2.4</v>
      </c>
      <c r="F6" s="77">
        <f t="shared" ref="F6:M15" si="1">(ROUNDUP($E6,0)*F$4)+F47</f>
        <v>300</v>
      </c>
      <c r="G6" s="77">
        <f t="shared" si="1"/>
        <v>3</v>
      </c>
      <c r="H6" s="77">
        <f t="shared" si="1"/>
        <v>15</v>
      </c>
      <c r="I6" s="77">
        <f t="shared" si="1"/>
        <v>150</v>
      </c>
      <c r="J6" s="145">
        <f t="shared" si="1"/>
        <v>3</v>
      </c>
      <c r="K6" s="77">
        <f t="shared" si="1"/>
        <v>150</v>
      </c>
      <c r="L6" s="77">
        <f t="shared" si="1"/>
        <v>90</v>
      </c>
      <c r="M6" s="77">
        <f t="shared" si="1"/>
        <v>150</v>
      </c>
      <c r="N6" s="77">
        <f t="shared" ref="N6:N41" si="2">(ROUNDDOWN($E6,0)*N$4)+N47</f>
        <v>40</v>
      </c>
      <c r="O6" s="77">
        <f t="shared" ref="O6:V6" si="3">ROUNDDOWN($E6,0)*O$4</f>
        <v>100</v>
      </c>
      <c r="P6" s="77">
        <f t="shared" si="3"/>
        <v>100</v>
      </c>
      <c r="Q6" s="145">
        <f t="shared" si="3"/>
        <v>2</v>
      </c>
      <c r="R6" s="77">
        <f t="shared" si="3"/>
        <v>100</v>
      </c>
      <c r="S6" s="77">
        <f t="shared" si="3"/>
        <v>100</v>
      </c>
      <c r="T6" s="77">
        <f t="shared" si="3"/>
        <v>100</v>
      </c>
      <c r="U6" s="77">
        <f t="shared" si="3"/>
        <v>0</v>
      </c>
      <c r="V6" s="77">
        <f t="shared" si="3"/>
        <v>0</v>
      </c>
      <c r="W6" s="79">
        <v>0</v>
      </c>
    </row>
    <row r="7" spans="1:23">
      <c r="A7" s="80">
        <v>2</v>
      </c>
      <c r="B7" s="79" t="s">
        <v>49</v>
      </c>
      <c r="C7" s="7" t="s">
        <v>101</v>
      </c>
      <c r="D7" s="7">
        <v>2</v>
      </c>
      <c r="E7" s="7">
        <f>'Sierra décalée'!Q6</f>
        <v>3.5</v>
      </c>
      <c r="F7" s="146">
        <f t="shared" si="1"/>
        <v>400</v>
      </c>
      <c r="G7" s="146">
        <f t="shared" si="1"/>
        <v>4</v>
      </c>
      <c r="H7" s="146">
        <f t="shared" si="1"/>
        <v>20</v>
      </c>
      <c r="I7" s="146">
        <f t="shared" si="1"/>
        <v>200</v>
      </c>
      <c r="J7" s="147">
        <f t="shared" si="1"/>
        <v>4</v>
      </c>
      <c r="K7" s="146">
        <f t="shared" si="1"/>
        <v>200</v>
      </c>
      <c r="L7" s="146">
        <f t="shared" si="1"/>
        <v>120</v>
      </c>
      <c r="M7" s="146">
        <f t="shared" si="1"/>
        <v>200</v>
      </c>
      <c r="N7" s="146">
        <f t="shared" si="2"/>
        <v>60</v>
      </c>
      <c r="O7" s="146">
        <f t="shared" ref="O7:V16" si="4">(ROUNDDOWN($E7,0)*O$4)+O48</f>
        <v>150</v>
      </c>
      <c r="P7" s="146">
        <f t="shared" si="4"/>
        <v>150</v>
      </c>
      <c r="Q7" s="146">
        <f t="shared" si="4"/>
        <v>3</v>
      </c>
      <c r="R7" s="146">
        <f t="shared" si="4"/>
        <v>150</v>
      </c>
      <c r="S7" s="146">
        <f t="shared" si="4"/>
        <v>150</v>
      </c>
      <c r="T7" s="146">
        <f t="shared" si="4"/>
        <v>150</v>
      </c>
      <c r="U7" s="146">
        <f t="shared" si="4"/>
        <v>0</v>
      </c>
      <c r="V7" s="146">
        <f t="shared" si="4"/>
        <v>0</v>
      </c>
      <c r="W7" s="79">
        <v>0</v>
      </c>
    </row>
    <row r="8" spans="1:23">
      <c r="A8" s="80">
        <v>3</v>
      </c>
      <c r="B8" s="79" t="s">
        <v>50</v>
      </c>
      <c r="C8" s="7" t="s">
        <v>102</v>
      </c>
      <c r="D8" s="7">
        <v>3</v>
      </c>
      <c r="E8" s="7">
        <f>'Sierra décalée'!Q7</f>
        <v>2.4</v>
      </c>
      <c r="F8" s="146">
        <f t="shared" si="1"/>
        <v>300</v>
      </c>
      <c r="G8" s="146">
        <f t="shared" si="1"/>
        <v>3</v>
      </c>
      <c r="H8" s="146">
        <f t="shared" si="1"/>
        <v>15</v>
      </c>
      <c r="I8" s="146">
        <f t="shared" si="1"/>
        <v>150</v>
      </c>
      <c r="J8" s="147">
        <f t="shared" si="1"/>
        <v>3</v>
      </c>
      <c r="K8" s="146">
        <f t="shared" si="1"/>
        <v>150</v>
      </c>
      <c r="L8" s="146">
        <f t="shared" si="1"/>
        <v>90</v>
      </c>
      <c r="M8" s="146">
        <f t="shared" si="1"/>
        <v>150</v>
      </c>
      <c r="N8" s="146">
        <f t="shared" si="2"/>
        <v>40</v>
      </c>
      <c r="O8" s="146">
        <f t="shared" si="4"/>
        <v>100</v>
      </c>
      <c r="P8" s="146">
        <f t="shared" si="4"/>
        <v>100</v>
      </c>
      <c r="Q8" s="146">
        <f t="shared" si="4"/>
        <v>3</v>
      </c>
      <c r="R8" s="146">
        <f t="shared" si="4"/>
        <v>150</v>
      </c>
      <c r="S8" s="146">
        <f t="shared" si="4"/>
        <v>150</v>
      </c>
      <c r="T8" s="146">
        <f t="shared" si="4"/>
        <v>150</v>
      </c>
      <c r="U8" s="146">
        <f t="shared" si="4"/>
        <v>0</v>
      </c>
      <c r="V8" s="146">
        <f t="shared" si="4"/>
        <v>0</v>
      </c>
      <c r="W8" s="79">
        <v>1</v>
      </c>
    </row>
    <row r="9" spans="1:23">
      <c r="A9" s="80">
        <v>4</v>
      </c>
      <c r="B9" s="79" t="s">
        <v>51</v>
      </c>
      <c r="C9" s="7" t="s">
        <v>103</v>
      </c>
      <c r="D9" s="7">
        <v>4</v>
      </c>
      <c r="E9" s="7">
        <f>'Sierra décalée'!Q8</f>
        <v>0.99</v>
      </c>
      <c r="F9" s="77">
        <f t="shared" si="1"/>
        <v>0</v>
      </c>
      <c r="G9" s="77">
        <f t="shared" si="1"/>
        <v>0</v>
      </c>
      <c r="H9" s="77">
        <f t="shared" si="1"/>
        <v>0</v>
      </c>
      <c r="I9" s="77">
        <f t="shared" si="1"/>
        <v>0</v>
      </c>
      <c r="J9" s="145">
        <f t="shared" si="1"/>
        <v>0</v>
      </c>
      <c r="K9" s="77">
        <f t="shared" si="1"/>
        <v>0</v>
      </c>
      <c r="L9" s="77">
        <f t="shared" si="1"/>
        <v>0</v>
      </c>
      <c r="M9" s="77">
        <f t="shared" si="1"/>
        <v>0</v>
      </c>
      <c r="N9" s="77">
        <f t="shared" si="2"/>
        <v>0</v>
      </c>
      <c r="O9" s="77">
        <f t="shared" si="4"/>
        <v>0</v>
      </c>
      <c r="P9" s="77">
        <f t="shared" si="4"/>
        <v>0</v>
      </c>
      <c r="Q9" s="77">
        <f t="shared" si="4"/>
        <v>0</v>
      </c>
      <c r="R9" s="77">
        <f t="shared" si="4"/>
        <v>0</v>
      </c>
      <c r="S9" s="77">
        <f t="shared" si="4"/>
        <v>0</v>
      </c>
      <c r="T9" s="77">
        <f t="shared" si="4"/>
        <v>0</v>
      </c>
      <c r="U9" s="77">
        <f t="shared" si="4"/>
        <v>0</v>
      </c>
      <c r="V9" s="77">
        <f t="shared" si="4"/>
        <v>0</v>
      </c>
      <c r="W9" s="79">
        <v>1</v>
      </c>
    </row>
    <row r="10" spans="1:23">
      <c r="A10" s="80">
        <v>5</v>
      </c>
      <c r="B10" s="79" t="s">
        <v>52</v>
      </c>
      <c r="C10" s="7" t="s">
        <v>104</v>
      </c>
      <c r="D10" s="23">
        <v>5</v>
      </c>
      <c r="E10" s="7">
        <f>'Sierra décalée'!Q9</f>
        <v>1.9</v>
      </c>
      <c r="F10" s="77">
        <f t="shared" si="1"/>
        <v>200</v>
      </c>
      <c r="G10" s="77">
        <f t="shared" si="1"/>
        <v>2</v>
      </c>
      <c r="H10" s="77">
        <f t="shared" si="1"/>
        <v>10</v>
      </c>
      <c r="I10" s="77">
        <f t="shared" si="1"/>
        <v>100</v>
      </c>
      <c r="J10" s="145">
        <f t="shared" si="1"/>
        <v>2</v>
      </c>
      <c r="K10" s="77">
        <f t="shared" si="1"/>
        <v>100</v>
      </c>
      <c r="L10" s="77">
        <f t="shared" si="1"/>
        <v>60</v>
      </c>
      <c r="M10" s="77">
        <f t="shared" si="1"/>
        <v>100</v>
      </c>
      <c r="N10" s="77">
        <f t="shared" si="2"/>
        <v>20</v>
      </c>
      <c r="O10" s="77">
        <f t="shared" si="4"/>
        <v>50</v>
      </c>
      <c r="P10" s="77">
        <f t="shared" si="4"/>
        <v>50</v>
      </c>
      <c r="Q10" s="77">
        <f t="shared" si="4"/>
        <v>1</v>
      </c>
      <c r="R10" s="77">
        <f t="shared" si="4"/>
        <v>50</v>
      </c>
      <c r="S10" s="77">
        <f t="shared" si="4"/>
        <v>50</v>
      </c>
      <c r="T10" s="77">
        <f t="shared" si="4"/>
        <v>50</v>
      </c>
      <c r="U10" s="77">
        <f t="shared" si="4"/>
        <v>0</v>
      </c>
      <c r="V10" s="77">
        <f t="shared" si="4"/>
        <v>0</v>
      </c>
      <c r="W10" s="79">
        <v>0</v>
      </c>
    </row>
    <row r="11" spans="1:23" ht="16.5" customHeight="1">
      <c r="A11" s="80">
        <v>6</v>
      </c>
      <c r="B11" s="79" t="s">
        <v>53</v>
      </c>
      <c r="C11" s="7" t="s">
        <v>278</v>
      </c>
      <c r="D11" s="7">
        <v>6</v>
      </c>
      <c r="E11" s="7">
        <f>'Sierra décalée'!Q10</f>
        <v>0.9</v>
      </c>
      <c r="F11" s="77">
        <f t="shared" si="1"/>
        <v>100</v>
      </c>
      <c r="G11" s="77">
        <f t="shared" si="1"/>
        <v>1</v>
      </c>
      <c r="H11" s="77">
        <f t="shared" si="1"/>
        <v>5</v>
      </c>
      <c r="I11" s="77">
        <f t="shared" si="1"/>
        <v>50</v>
      </c>
      <c r="J11" s="145">
        <f t="shared" si="1"/>
        <v>1</v>
      </c>
      <c r="K11" s="77">
        <f t="shared" si="1"/>
        <v>50</v>
      </c>
      <c r="L11" s="77">
        <f t="shared" si="1"/>
        <v>30</v>
      </c>
      <c r="M11" s="77">
        <f t="shared" si="1"/>
        <v>50</v>
      </c>
      <c r="N11" s="77">
        <f t="shared" si="2"/>
        <v>0</v>
      </c>
      <c r="O11" s="77">
        <f t="shared" si="4"/>
        <v>0</v>
      </c>
      <c r="P11" s="77">
        <f t="shared" si="4"/>
        <v>0</v>
      </c>
      <c r="Q11" s="77">
        <f t="shared" si="4"/>
        <v>0</v>
      </c>
      <c r="R11" s="77">
        <f t="shared" si="4"/>
        <v>0</v>
      </c>
      <c r="S11" s="77">
        <f t="shared" si="4"/>
        <v>0</v>
      </c>
      <c r="T11" s="77">
        <f t="shared" si="4"/>
        <v>0</v>
      </c>
      <c r="U11" s="77">
        <f t="shared" si="4"/>
        <v>0</v>
      </c>
      <c r="V11" s="77">
        <f t="shared" si="4"/>
        <v>0</v>
      </c>
      <c r="W11" s="79">
        <v>0</v>
      </c>
    </row>
    <row r="12" spans="1:23">
      <c r="A12" s="80">
        <v>7</v>
      </c>
      <c r="B12" s="79" t="s">
        <v>54</v>
      </c>
      <c r="C12" s="7" t="s">
        <v>106</v>
      </c>
      <c r="D12" s="7">
        <v>7</v>
      </c>
      <c r="E12" s="7">
        <f>'Sierra décalée'!Q11</f>
        <v>4.9000000000000004</v>
      </c>
      <c r="F12" s="77">
        <f t="shared" si="1"/>
        <v>500</v>
      </c>
      <c r="G12" s="77">
        <f t="shared" si="1"/>
        <v>5</v>
      </c>
      <c r="H12" s="77">
        <f t="shared" si="1"/>
        <v>25</v>
      </c>
      <c r="I12" s="77">
        <f t="shared" si="1"/>
        <v>250</v>
      </c>
      <c r="J12" s="145">
        <f t="shared" si="1"/>
        <v>5</v>
      </c>
      <c r="K12" s="77">
        <f t="shared" si="1"/>
        <v>250</v>
      </c>
      <c r="L12" s="77">
        <f t="shared" si="1"/>
        <v>150</v>
      </c>
      <c r="M12" s="77">
        <f t="shared" si="1"/>
        <v>250</v>
      </c>
      <c r="N12" s="77">
        <f t="shared" si="2"/>
        <v>80</v>
      </c>
      <c r="O12" s="77">
        <f t="shared" si="4"/>
        <v>200</v>
      </c>
      <c r="P12" s="77">
        <f t="shared" si="4"/>
        <v>200</v>
      </c>
      <c r="Q12" s="77">
        <f t="shared" si="4"/>
        <v>4</v>
      </c>
      <c r="R12" s="77">
        <f t="shared" si="4"/>
        <v>200</v>
      </c>
      <c r="S12" s="77">
        <f t="shared" si="4"/>
        <v>200</v>
      </c>
      <c r="T12" s="77">
        <f t="shared" si="4"/>
        <v>200</v>
      </c>
      <c r="U12" s="77">
        <f t="shared" si="4"/>
        <v>0</v>
      </c>
      <c r="V12" s="77">
        <f t="shared" si="4"/>
        <v>0</v>
      </c>
      <c r="W12" s="79">
        <v>0</v>
      </c>
    </row>
    <row r="13" spans="1:23">
      <c r="A13" s="80"/>
      <c r="C13" s="7" t="s">
        <v>7</v>
      </c>
      <c r="D13" s="7">
        <v>8</v>
      </c>
      <c r="E13" s="7">
        <f>'Sierra décalée'!Q12</f>
        <v>4.9000000000000004</v>
      </c>
      <c r="F13" s="77">
        <f t="shared" si="1"/>
        <v>500</v>
      </c>
      <c r="G13" s="77">
        <f t="shared" si="1"/>
        <v>5</v>
      </c>
      <c r="H13" s="77">
        <f t="shared" si="1"/>
        <v>25</v>
      </c>
      <c r="I13" s="77">
        <f t="shared" si="1"/>
        <v>250</v>
      </c>
      <c r="J13" s="145">
        <f t="shared" si="1"/>
        <v>5</v>
      </c>
      <c r="K13" s="77">
        <f t="shared" si="1"/>
        <v>250</v>
      </c>
      <c r="L13" s="77">
        <f t="shared" si="1"/>
        <v>150</v>
      </c>
      <c r="M13" s="77">
        <f t="shared" si="1"/>
        <v>250</v>
      </c>
      <c r="N13" s="77">
        <f t="shared" si="2"/>
        <v>80</v>
      </c>
      <c r="O13" s="77">
        <f t="shared" si="4"/>
        <v>200</v>
      </c>
      <c r="P13" s="77">
        <f t="shared" si="4"/>
        <v>200</v>
      </c>
      <c r="Q13" s="77">
        <f t="shared" si="4"/>
        <v>4</v>
      </c>
      <c r="R13" s="77">
        <f t="shared" si="4"/>
        <v>200</v>
      </c>
      <c r="S13" s="77">
        <f t="shared" si="4"/>
        <v>200</v>
      </c>
      <c r="T13" s="77">
        <f t="shared" si="4"/>
        <v>200</v>
      </c>
      <c r="U13" s="77">
        <f t="shared" si="4"/>
        <v>0</v>
      </c>
      <c r="V13" s="77">
        <f t="shared" si="4"/>
        <v>0</v>
      </c>
      <c r="W13" s="79">
        <v>0</v>
      </c>
    </row>
    <row r="14" spans="1:23">
      <c r="A14" s="80"/>
      <c r="C14" s="7" t="s">
        <v>132</v>
      </c>
      <c r="D14" s="7">
        <v>9</v>
      </c>
      <c r="E14" s="7">
        <f>'Sierra décalée'!Q13</f>
        <v>5.6</v>
      </c>
      <c r="F14" s="77">
        <f t="shared" si="1"/>
        <v>600</v>
      </c>
      <c r="G14" s="77">
        <f t="shared" si="1"/>
        <v>6</v>
      </c>
      <c r="H14" s="77">
        <f t="shared" si="1"/>
        <v>30</v>
      </c>
      <c r="I14" s="77">
        <f t="shared" si="1"/>
        <v>300</v>
      </c>
      <c r="J14" s="145">
        <f t="shared" si="1"/>
        <v>6</v>
      </c>
      <c r="K14" s="77">
        <f t="shared" si="1"/>
        <v>300</v>
      </c>
      <c r="L14" s="77">
        <f t="shared" si="1"/>
        <v>180</v>
      </c>
      <c r="M14" s="77">
        <f t="shared" si="1"/>
        <v>300</v>
      </c>
      <c r="N14" s="77">
        <f t="shared" si="2"/>
        <v>100</v>
      </c>
      <c r="O14" s="77">
        <f t="shared" si="4"/>
        <v>250</v>
      </c>
      <c r="P14" s="77">
        <f t="shared" si="4"/>
        <v>250</v>
      </c>
      <c r="Q14" s="77">
        <f t="shared" si="4"/>
        <v>5</v>
      </c>
      <c r="R14" s="77">
        <f t="shared" si="4"/>
        <v>250</v>
      </c>
      <c r="S14" s="77">
        <f t="shared" si="4"/>
        <v>250</v>
      </c>
      <c r="T14" s="77">
        <f t="shared" si="4"/>
        <v>250</v>
      </c>
      <c r="U14" s="77">
        <f t="shared" si="4"/>
        <v>0</v>
      </c>
      <c r="V14" s="77">
        <f t="shared" si="4"/>
        <v>0</v>
      </c>
      <c r="W14" s="79">
        <v>0</v>
      </c>
    </row>
    <row r="15" spans="1:23">
      <c r="A15" s="80"/>
      <c r="C15" s="42" t="s">
        <v>136</v>
      </c>
      <c r="D15" s="7">
        <v>10</v>
      </c>
      <c r="E15" s="7">
        <f>'Sierra décalée'!Q14</f>
        <v>4.9000000000000004</v>
      </c>
      <c r="F15" s="77">
        <f t="shared" si="1"/>
        <v>500</v>
      </c>
      <c r="G15" s="77">
        <f t="shared" si="1"/>
        <v>5</v>
      </c>
      <c r="H15" s="77">
        <f t="shared" si="1"/>
        <v>25</v>
      </c>
      <c r="I15" s="77">
        <f t="shared" si="1"/>
        <v>250</v>
      </c>
      <c r="J15" s="145">
        <f t="shared" si="1"/>
        <v>5</v>
      </c>
      <c r="K15" s="77">
        <f t="shared" si="1"/>
        <v>250</v>
      </c>
      <c r="L15" s="77">
        <f t="shared" si="1"/>
        <v>150</v>
      </c>
      <c r="M15" s="77">
        <f t="shared" si="1"/>
        <v>250</v>
      </c>
      <c r="N15" s="77">
        <f t="shared" si="2"/>
        <v>80</v>
      </c>
      <c r="O15" s="77">
        <f t="shared" si="4"/>
        <v>200</v>
      </c>
      <c r="P15" s="77">
        <f t="shared" si="4"/>
        <v>200</v>
      </c>
      <c r="Q15" s="77">
        <f t="shared" si="4"/>
        <v>5</v>
      </c>
      <c r="R15" s="77">
        <f t="shared" si="4"/>
        <v>200</v>
      </c>
      <c r="S15" s="77">
        <f t="shared" si="4"/>
        <v>250</v>
      </c>
      <c r="T15" s="77">
        <f t="shared" si="4"/>
        <v>200</v>
      </c>
      <c r="U15" s="77">
        <f t="shared" si="4"/>
        <v>0</v>
      </c>
      <c r="V15" s="77">
        <f t="shared" si="4"/>
        <v>0</v>
      </c>
      <c r="W15" s="79">
        <v>1</v>
      </c>
    </row>
    <row r="16" spans="1:23" ht="15" thickBot="1">
      <c r="A16" s="80"/>
      <c r="C16" s="7" t="s">
        <v>137</v>
      </c>
      <c r="D16" s="7">
        <v>11</v>
      </c>
      <c r="E16" s="7">
        <f>'Sierra décalée'!Q15</f>
        <v>2.8</v>
      </c>
      <c r="F16" s="148">
        <f t="shared" ref="F16:M25" si="5">(ROUNDUP($E16,0)*F$4)+F57</f>
        <v>300</v>
      </c>
      <c r="G16" s="148">
        <f t="shared" si="5"/>
        <v>3</v>
      </c>
      <c r="H16" s="148">
        <f t="shared" si="5"/>
        <v>15</v>
      </c>
      <c r="I16" s="148">
        <f t="shared" si="5"/>
        <v>150</v>
      </c>
      <c r="J16" s="149">
        <f t="shared" si="5"/>
        <v>3</v>
      </c>
      <c r="K16" s="148">
        <f t="shared" si="5"/>
        <v>150</v>
      </c>
      <c r="L16" s="148">
        <f t="shared" si="5"/>
        <v>90</v>
      </c>
      <c r="M16" s="148">
        <f t="shared" si="5"/>
        <v>150</v>
      </c>
      <c r="N16" s="148">
        <f t="shared" si="2"/>
        <v>40</v>
      </c>
      <c r="O16" s="148">
        <f t="shared" si="4"/>
        <v>100</v>
      </c>
      <c r="P16" s="148">
        <f t="shared" si="4"/>
        <v>100</v>
      </c>
      <c r="Q16" s="148">
        <f t="shared" si="4"/>
        <v>2</v>
      </c>
      <c r="R16" s="148">
        <f t="shared" si="4"/>
        <v>100</v>
      </c>
      <c r="S16" s="148">
        <f t="shared" si="4"/>
        <v>100</v>
      </c>
      <c r="T16" s="148">
        <f t="shared" si="4"/>
        <v>100</v>
      </c>
      <c r="U16" s="148">
        <f t="shared" si="4"/>
        <v>0</v>
      </c>
      <c r="V16" s="148">
        <f t="shared" si="4"/>
        <v>0</v>
      </c>
    </row>
    <row r="17" spans="1:23">
      <c r="A17" s="80"/>
      <c r="C17" s="78" t="s">
        <v>225</v>
      </c>
      <c r="D17" s="23">
        <v>12</v>
      </c>
      <c r="E17" s="7">
        <f>'Sierra décalée'!Q16</f>
        <v>2.9</v>
      </c>
      <c r="F17" s="150">
        <f t="shared" si="5"/>
        <v>300</v>
      </c>
      <c r="G17" s="150">
        <f t="shared" si="5"/>
        <v>3</v>
      </c>
      <c r="H17" s="150">
        <f t="shared" si="5"/>
        <v>15</v>
      </c>
      <c r="I17" s="150">
        <f t="shared" si="5"/>
        <v>150</v>
      </c>
      <c r="J17" s="151">
        <f t="shared" si="5"/>
        <v>3</v>
      </c>
      <c r="K17" s="150">
        <f t="shared" si="5"/>
        <v>150</v>
      </c>
      <c r="L17" s="150">
        <f t="shared" si="5"/>
        <v>90</v>
      </c>
      <c r="M17" s="150">
        <f t="shared" si="5"/>
        <v>150</v>
      </c>
      <c r="N17" s="150">
        <f t="shared" si="2"/>
        <v>40</v>
      </c>
      <c r="O17" s="150">
        <f t="shared" ref="O17:V26" si="6">(ROUNDDOWN($E17,0)*O$4)+O58</f>
        <v>100</v>
      </c>
      <c r="P17" s="150">
        <f t="shared" si="6"/>
        <v>100</v>
      </c>
      <c r="Q17" s="150">
        <f t="shared" si="6"/>
        <v>4</v>
      </c>
      <c r="R17" s="150">
        <f t="shared" si="6"/>
        <v>100</v>
      </c>
      <c r="S17" s="150">
        <f t="shared" si="6"/>
        <v>200</v>
      </c>
      <c r="T17" s="150">
        <f t="shared" si="6"/>
        <v>100</v>
      </c>
      <c r="U17" s="150">
        <f t="shared" si="6"/>
        <v>0</v>
      </c>
      <c r="V17" s="150">
        <f t="shared" si="6"/>
        <v>0</v>
      </c>
      <c r="W17" s="79">
        <v>1</v>
      </c>
    </row>
    <row r="18" spans="1:23">
      <c r="A18" s="80"/>
      <c r="C18" s="7" t="s">
        <v>84</v>
      </c>
      <c r="D18" s="7">
        <v>23</v>
      </c>
      <c r="E18" s="7">
        <f>'Sierra décalée'!Q17</f>
        <v>3.8</v>
      </c>
      <c r="F18" s="152">
        <f t="shared" si="5"/>
        <v>400</v>
      </c>
      <c r="G18" s="152">
        <f t="shared" si="5"/>
        <v>4</v>
      </c>
      <c r="H18" s="152">
        <f t="shared" si="5"/>
        <v>20</v>
      </c>
      <c r="I18" s="152">
        <f t="shared" si="5"/>
        <v>200</v>
      </c>
      <c r="J18" s="153">
        <f t="shared" si="5"/>
        <v>4</v>
      </c>
      <c r="K18" s="152">
        <f t="shared" si="5"/>
        <v>200</v>
      </c>
      <c r="L18" s="152">
        <f t="shared" si="5"/>
        <v>120</v>
      </c>
      <c r="M18" s="152">
        <f t="shared" si="5"/>
        <v>200</v>
      </c>
      <c r="N18" s="152">
        <f t="shared" si="2"/>
        <v>60</v>
      </c>
      <c r="O18" s="152">
        <f t="shared" si="6"/>
        <v>150</v>
      </c>
      <c r="P18" s="152">
        <f t="shared" si="6"/>
        <v>150</v>
      </c>
      <c r="Q18" s="152">
        <f t="shared" si="6"/>
        <v>3</v>
      </c>
      <c r="R18" s="152">
        <f t="shared" si="6"/>
        <v>150</v>
      </c>
      <c r="S18" s="152">
        <f t="shared" si="6"/>
        <v>150</v>
      </c>
      <c r="T18" s="152">
        <f t="shared" si="6"/>
        <v>150</v>
      </c>
      <c r="U18" s="152">
        <f t="shared" si="6"/>
        <v>0</v>
      </c>
      <c r="V18" s="152">
        <f t="shared" si="6"/>
        <v>0</v>
      </c>
      <c r="W18" s="79">
        <v>0</v>
      </c>
    </row>
    <row r="19" spans="1:23">
      <c r="A19" s="80"/>
      <c r="C19" s="7" t="s">
        <v>10</v>
      </c>
      <c r="D19" s="7">
        <v>24</v>
      </c>
      <c r="E19" s="7">
        <f>'Sierra décalée'!Q18</f>
        <v>4.8</v>
      </c>
      <c r="F19" s="146">
        <f t="shared" si="5"/>
        <v>500</v>
      </c>
      <c r="G19" s="146">
        <f t="shared" si="5"/>
        <v>5</v>
      </c>
      <c r="H19" s="146">
        <f t="shared" si="5"/>
        <v>25</v>
      </c>
      <c r="I19" s="146">
        <f t="shared" si="5"/>
        <v>250</v>
      </c>
      <c r="J19" s="147">
        <f t="shared" si="5"/>
        <v>5</v>
      </c>
      <c r="K19" s="146">
        <f t="shared" si="5"/>
        <v>250</v>
      </c>
      <c r="L19" s="146">
        <f t="shared" si="5"/>
        <v>150</v>
      </c>
      <c r="M19" s="146">
        <f t="shared" si="5"/>
        <v>250</v>
      </c>
      <c r="N19" s="146">
        <f t="shared" si="2"/>
        <v>80</v>
      </c>
      <c r="O19" s="146">
        <f t="shared" si="6"/>
        <v>200</v>
      </c>
      <c r="P19" s="146">
        <f t="shared" si="6"/>
        <v>200</v>
      </c>
      <c r="Q19" s="146">
        <f t="shared" si="6"/>
        <v>4</v>
      </c>
      <c r="R19" s="146">
        <f t="shared" si="6"/>
        <v>200</v>
      </c>
      <c r="S19" s="146">
        <f t="shared" si="6"/>
        <v>200</v>
      </c>
      <c r="T19" s="146">
        <f t="shared" si="6"/>
        <v>200</v>
      </c>
      <c r="U19" s="146">
        <f t="shared" si="6"/>
        <v>0</v>
      </c>
      <c r="V19" s="146">
        <f t="shared" si="6"/>
        <v>0</v>
      </c>
      <c r="W19" s="79">
        <v>0</v>
      </c>
    </row>
    <row r="20" spans="1:23">
      <c r="A20" s="80"/>
      <c r="C20" s="7" t="s">
        <v>11</v>
      </c>
      <c r="D20" s="7">
        <v>25</v>
      </c>
      <c r="E20" s="7">
        <f>'Sierra décalée'!Q19</f>
        <v>2.6</v>
      </c>
      <c r="F20" s="77">
        <f t="shared" si="5"/>
        <v>300</v>
      </c>
      <c r="G20" s="77">
        <f t="shared" si="5"/>
        <v>3</v>
      </c>
      <c r="H20" s="77">
        <f t="shared" si="5"/>
        <v>15</v>
      </c>
      <c r="I20" s="77">
        <f t="shared" si="5"/>
        <v>150</v>
      </c>
      <c r="J20" s="145">
        <f t="shared" si="5"/>
        <v>3</v>
      </c>
      <c r="K20" s="77">
        <f t="shared" si="5"/>
        <v>150</v>
      </c>
      <c r="L20" s="77">
        <f t="shared" si="5"/>
        <v>90</v>
      </c>
      <c r="M20" s="77">
        <f t="shared" si="5"/>
        <v>150</v>
      </c>
      <c r="N20" s="77">
        <f t="shared" si="2"/>
        <v>40</v>
      </c>
      <c r="O20" s="77">
        <f t="shared" si="6"/>
        <v>100</v>
      </c>
      <c r="P20" s="77">
        <f t="shared" si="6"/>
        <v>100</v>
      </c>
      <c r="Q20" s="77">
        <f t="shared" si="6"/>
        <v>2</v>
      </c>
      <c r="R20" s="77">
        <f t="shared" si="6"/>
        <v>100</v>
      </c>
      <c r="S20" s="77">
        <f t="shared" si="6"/>
        <v>100</v>
      </c>
      <c r="T20" s="77">
        <f t="shared" si="6"/>
        <v>100</v>
      </c>
      <c r="U20" s="77">
        <f t="shared" si="6"/>
        <v>0</v>
      </c>
      <c r="V20" s="77">
        <f t="shared" si="6"/>
        <v>0</v>
      </c>
      <c r="W20" s="79">
        <v>0</v>
      </c>
    </row>
    <row r="21" spans="1:23">
      <c r="A21" s="80"/>
      <c r="C21" s="42" t="s">
        <v>12</v>
      </c>
      <c r="D21" s="7">
        <v>26</v>
      </c>
      <c r="E21" s="7">
        <f>'Sierra décalée'!Q20</f>
        <v>3.3</v>
      </c>
      <c r="F21" s="146">
        <f t="shared" si="5"/>
        <v>400</v>
      </c>
      <c r="G21" s="146">
        <f t="shared" si="5"/>
        <v>4</v>
      </c>
      <c r="H21" s="146">
        <f t="shared" si="5"/>
        <v>20</v>
      </c>
      <c r="I21" s="146">
        <f t="shared" si="5"/>
        <v>200</v>
      </c>
      <c r="J21" s="147">
        <f t="shared" si="5"/>
        <v>4</v>
      </c>
      <c r="K21" s="146">
        <f t="shared" si="5"/>
        <v>200</v>
      </c>
      <c r="L21" s="146">
        <f t="shared" si="5"/>
        <v>120</v>
      </c>
      <c r="M21" s="146">
        <f t="shared" si="5"/>
        <v>200</v>
      </c>
      <c r="N21" s="146">
        <f t="shared" si="2"/>
        <v>60</v>
      </c>
      <c r="O21" s="146">
        <f t="shared" si="6"/>
        <v>150</v>
      </c>
      <c r="P21" s="146">
        <f t="shared" si="6"/>
        <v>150</v>
      </c>
      <c r="Q21" s="146">
        <f t="shared" si="6"/>
        <v>3</v>
      </c>
      <c r="R21" s="146">
        <f t="shared" si="6"/>
        <v>150</v>
      </c>
      <c r="S21" s="146">
        <f t="shared" si="6"/>
        <v>150</v>
      </c>
      <c r="T21" s="146">
        <f t="shared" si="6"/>
        <v>150</v>
      </c>
      <c r="U21" s="146">
        <f t="shared" si="6"/>
        <v>0</v>
      </c>
      <c r="V21" s="146">
        <f t="shared" si="6"/>
        <v>0</v>
      </c>
      <c r="W21" s="79">
        <v>0</v>
      </c>
    </row>
    <row r="22" spans="1:23">
      <c r="C22" s="7" t="s">
        <v>13</v>
      </c>
      <c r="D22" s="7">
        <v>27</v>
      </c>
      <c r="E22" s="7">
        <f>'Sierra décalée'!Q21</f>
        <v>5.2</v>
      </c>
      <c r="F22" s="152">
        <f t="shared" si="5"/>
        <v>600</v>
      </c>
      <c r="G22" s="152">
        <f t="shared" si="5"/>
        <v>6</v>
      </c>
      <c r="H22" s="152">
        <f t="shared" si="5"/>
        <v>30</v>
      </c>
      <c r="I22" s="152">
        <f t="shared" si="5"/>
        <v>300</v>
      </c>
      <c r="J22" s="153">
        <f t="shared" si="5"/>
        <v>6</v>
      </c>
      <c r="K22" s="152">
        <f t="shared" si="5"/>
        <v>300</v>
      </c>
      <c r="L22" s="152">
        <f t="shared" si="5"/>
        <v>180</v>
      </c>
      <c r="M22" s="152">
        <f t="shared" si="5"/>
        <v>300</v>
      </c>
      <c r="N22" s="152">
        <f t="shared" si="2"/>
        <v>100</v>
      </c>
      <c r="O22" s="152">
        <f t="shared" si="6"/>
        <v>250</v>
      </c>
      <c r="P22" s="152">
        <f t="shared" si="6"/>
        <v>250</v>
      </c>
      <c r="Q22" s="152">
        <f t="shared" si="6"/>
        <v>5</v>
      </c>
      <c r="R22" s="152">
        <f t="shared" si="6"/>
        <v>250</v>
      </c>
      <c r="S22" s="152">
        <f t="shared" si="6"/>
        <v>250</v>
      </c>
      <c r="T22" s="152">
        <f t="shared" si="6"/>
        <v>250</v>
      </c>
      <c r="U22" s="152">
        <f t="shared" si="6"/>
        <v>0</v>
      </c>
      <c r="V22" s="152">
        <f t="shared" si="6"/>
        <v>0</v>
      </c>
      <c r="W22" s="79">
        <v>0</v>
      </c>
    </row>
    <row r="23" spans="1:23" ht="15" thickBot="1">
      <c r="C23" s="7" t="s">
        <v>264</v>
      </c>
      <c r="D23" s="7">
        <v>28</v>
      </c>
      <c r="E23" s="7">
        <f>'Sierra décalée'!Q22</f>
        <v>3.9</v>
      </c>
      <c r="F23" s="148">
        <f t="shared" si="5"/>
        <v>400</v>
      </c>
      <c r="G23" s="148">
        <f t="shared" si="5"/>
        <v>4</v>
      </c>
      <c r="H23" s="148">
        <f t="shared" si="5"/>
        <v>20</v>
      </c>
      <c r="I23" s="148">
        <f t="shared" si="5"/>
        <v>200</v>
      </c>
      <c r="J23" s="149">
        <f t="shared" si="5"/>
        <v>4</v>
      </c>
      <c r="K23" s="148">
        <f t="shared" si="5"/>
        <v>200</v>
      </c>
      <c r="L23" s="148">
        <f t="shared" si="5"/>
        <v>120</v>
      </c>
      <c r="M23" s="148">
        <f t="shared" si="5"/>
        <v>200</v>
      </c>
      <c r="N23" s="148">
        <f t="shared" si="2"/>
        <v>60</v>
      </c>
      <c r="O23" s="148">
        <f t="shared" si="6"/>
        <v>150</v>
      </c>
      <c r="P23" s="148">
        <f t="shared" si="6"/>
        <v>150</v>
      </c>
      <c r="Q23" s="148">
        <f t="shared" si="6"/>
        <v>3</v>
      </c>
      <c r="R23" s="148">
        <f t="shared" si="6"/>
        <v>150</v>
      </c>
      <c r="S23" s="148">
        <f t="shared" si="6"/>
        <v>150</v>
      </c>
      <c r="T23" s="148">
        <f t="shared" si="6"/>
        <v>150</v>
      </c>
      <c r="U23" s="148">
        <f t="shared" si="6"/>
        <v>0</v>
      </c>
      <c r="V23" s="148">
        <f t="shared" si="6"/>
        <v>0</v>
      </c>
      <c r="W23" s="79">
        <v>0</v>
      </c>
    </row>
    <row r="24" spans="1:23">
      <c r="C24" s="7" t="s">
        <v>257</v>
      </c>
      <c r="D24" s="7">
        <v>29</v>
      </c>
      <c r="E24" s="7">
        <f>'Sierra décalée'!Q23</f>
        <v>3.6</v>
      </c>
      <c r="F24" s="150">
        <f t="shared" si="5"/>
        <v>400</v>
      </c>
      <c r="G24" s="150">
        <f t="shared" si="5"/>
        <v>4</v>
      </c>
      <c r="H24" s="150">
        <f t="shared" si="5"/>
        <v>20</v>
      </c>
      <c r="I24" s="150">
        <f t="shared" si="5"/>
        <v>200</v>
      </c>
      <c r="J24" s="151">
        <f t="shared" si="5"/>
        <v>4</v>
      </c>
      <c r="K24" s="150">
        <f t="shared" si="5"/>
        <v>200</v>
      </c>
      <c r="L24" s="150">
        <f t="shared" si="5"/>
        <v>120</v>
      </c>
      <c r="M24" s="150">
        <f t="shared" si="5"/>
        <v>200</v>
      </c>
      <c r="N24" s="150">
        <f t="shared" si="2"/>
        <v>60</v>
      </c>
      <c r="O24" s="150">
        <f t="shared" si="6"/>
        <v>150</v>
      </c>
      <c r="P24" s="150">
        <f t="shared" si="6"/>
        <v>150</v>
      </c>
      <c r="Q24" s="150">
        <f t="shared" si="6"/>
        <v>3</v>
      </c>
      <c r="R24" s="150">
        <f t="shared" si="6"/>
        <v>150</v>
      </c>
      <c r="S24" s="150">
        <f t="shared" si="6"/>
        <v>150</v>
      </c>
      <c r="T24" s="150">
        <f t="shared" si="6"/>
        <v>150</v>
      </c>
      <c r="U24" s="150">
        <f t="shared" si="6"/>
        <v>0</v>
      </c>
      <c r="V24" s="150">
        <f t="shared" si="6"/>
        <v>0</v>
      </c>
      <c r="W24" s="79">
        <v>0</v>
      </c>
    </row>
    <row r="25" spans="1:23">
      <c r="C25" s="7" t="s">
        <v>258</v>
      </c>
      <c r="D25" s="7">
        <v>30</v>
      </c>
      <c r="E25" s="7">
        <f>'Sierra décalée'!Q24</f>
        <v>5.8</v>
      </c>
      <c r="F25" s="146">
        <f t="shared" si="5"/>
        <v>600</v>
      </c>
      <c r="G25" s="146">
        <f t="shared" si="5"/>
        <v>6</v>
      </c>
      <c r="H25" s="146">
        <f t="shared" si="5"/>
        <v>30</v>
      </c>
      <c r="I25" s="146">
        <f t="shared" si="5"/>
        <v>300</v>
      </c>
      <c r="J25" s="147">
        <f t="shared" si="5"/>
        <v>6</v>
      </c>
      <c r="K25" s="146">
        <f t="shared" si="5"/>
        <v>300</v>
      </c>
      <c r="L25" s="146">
        <f t="shared" si="5"/>
        <v>180</v>
      </c>
      <c r="M25" s="146">
        <f t="shared" si="5"/>
        <v>300</v>
      </c>
      <c r="N25" s="146">
        <f t="shared" si="2"/>
        <v>100</v>
      </c>
      <c r="O25" s="146">
        <f t="shared" si="6"/>
        <v>250</v>
      </c>
      <c r="P25" s="146">
        <f t="shared" si="6"/>
        <v>250</v>
      </c>
      <c r="Q25" s="146">
        <f t="shared" si="6"/>
        <v>5</v>
      </c>
      <c r="R25" s="146">
        <f t="shared" si="6"/>
        <v>250</v>
      </c>
      <c r="S25" s="146">
        <f t="shared" si="6"/>
        <v>250</v>
      </c>
      <c r="T25" s="146">
        <f t="shared" si="6"/>
        <v>250</v>
      </c>
      <c r="U25" s="146">
        <f t="shared" si="6"/>
        <v>0</v>
      </c>
      <c r="V25" s="146">
        <f t="shared" si="6"/>
        <v>0</v>
      </c>
      <c r="W25" s="79">
        <v>0</v>
      </c>
    </row>
    <row r="26" spans="1:23">
      <c r="C26" s="7" t="s">
        <v>17</v>
      </c>
      <c r="D26" s="7">
        <v>31</v>
      </c>
      <c r="E26" s="7">
        <f>'Sierra décalée'!Q25</f>
        <v>2.2000000000000002</v>
      </c>
      <c r="F26" s="146">
        <f t="shared" ref="F26:M35" si="7">(ROUNDUP($E26,0)*F$4)+F67</f>
        <v>300</v>
      </c>
      <c r="G26" s="146">
        <f t="shared" si="7"/>
        <v>3</v>
      </c>
      <c r="H26" s="146">
        <f t="shared" si="7"/>
        <v>15</v>
      </c>
      <c r="I26" s="146">
        <f t="shared" si="7"/>
        <v>150</v>
      </c>
      <c r="J26" s="147">
        <f t="shared" si="7"/>
        <v>3</v>
      </c>
      <c r="K26" s="146">
        <f t="shared" si="7"/>
        <v>150</v>
      </c>
      <c r="L26" s="146">
        <f t="shared" si="7"/>
        <v>90</v>
      </c>
      <c r="M26" s="146">
        <f t="shared" si="7"/>
        <v>150</v>
      </c>
      <c r="N26" s="146">
        <f t="shared" si="2"/>
        <v>40</v>
      </c>
      <c r="O26" s="146">
        <f t="shared" si="6"/>
        <v>100</v>
      </c>
      <c r="P26" s="146">
        <f t="shared" si="6"/>
        <v>100</v>
      </c>
      <c r="Q26" s="146">
        <f t="shared" si="6"/>
        <v>2</v>
      </c>
      <c r="R26" s="146">
        <f t="shared" si="6"/>
        <v>100</v>
      </c>
      <c r="S26" s="146">
        <f t="shared" si="6"/>
        <v>100</v>
      </c>
      <c r="T26" s="146">
        <f t="shared" si="6"/>
        <v>100</v>
      </c>
      <c r="U26" s="146">
        <f t="shared" si="6"/>
        <v>0</v>
      </c>
      <c r="V26" s="146">
        <f t="shared" si="6"/>
        <v>0</v>
      </c>
      <c r="W26" s="79">
        <v>0</v>
      </c>
    </row>
    <row r="27" spans="1:23">
      <c r="C27" s="7" t="s">
        <v>18</v>
      </c>
      <c r="D27" s="7">
        <v>32</v>
      </c>
      <c r="E27" s="7">
        <f>'Sierra décalée'!Q26</f>
        <v>7.6</v>
      </c>
      <c r="F27" s="146">
        <f t="shared" si="7"/>
        <v>800</v>
      </c>
      <c r="G27" s="146">
        <f t="shared" si="7"/>
        <v>8</v>
      </c>
      <c r="H27" s="146">
        <f t="shared" si="7"/>
        <v>40</v>
      </c>
      <c r="I27" s="146">
        <f t="shared" si="7"/>
        <v>400</v>
      </c>
      <c r="J27" s="147">
        <f t="shared" si="7"/>
        <v>8</v>
      </c>
      <c r="K27" s="146">
        <f t="shared" si="7"/>
        <v>400</v>
      </c>
      <c r="L27" s="146">
        <f t="shared" si="7"/>
        <v>240</v>
      </c>
      <c r="M27" s="146">
        <f t="shared" si="7"/>
        <v>400</v>
      </c>
      <c r="N27" s="146">
        <f t="shared" si="2"/>
        <v>140</v>
      </c>
      <c r="O27" s="146">
        <f t="shared" ref="O27:V36" si="8">(ROUNDDOWN($E27,0)*O$4)+O68</f>
        <v>350</v>
      </c>
      <c r="P27" s="146">
        <f t="shared" si="8"/>
        <v>350</v>
      </c>
      <c r="Q27" s="146">
        <f t="shared" si="8"/>
        <v>7</v>
      </c>
      <c r="R27" s="146">
        <f t="shared" si="8"/>
        <v>350</v>
      </c>
      <c r="S27" s="146">
        <f t="shared" si="8"/>
        <v>350</v>
      </c>
      <c r="T27" s="146">
        <f t="shared" si="8"/>
        <v>350</v>
      </c>
      <c r="U27" s="146">
        <f t="shared" si="8"/>
        <v>0</v>
      </c>
      <c r="V27" s="146">
        <f t="shared" si="8"/>
        <v>0</v>
      </c>
      <c r="W27" s="79">
        <v>0</v>
      </c>
    </row>
    <row r="28" spans="1:23">
      <c r="C28" s="7" t="s">
        <v>19</v>
      </c>
      <c r="D28" s="7">
        <v>33</v>
      </c>
      <c r="E28" s="7">
        <f>'Sierra décalée'!Q27</f>
        <v>5.2</v>
      </c>
      <c r="F28" s="146">
        <f t="shared" si="7"/>
        <v>600</v>
      </c>
      <c r="G28" s="146">
        <f t="shared" si="7"/>
        <v>6</v>
      </c>
      <c r="H28" s="146">
        <f t="shared" si="7"/>
        <v>30</v>
      </c>
      <c r="I28" s="146">
        <f t="shared" si="7"/>
        <v>300</v>
      </c>
      <c r="J28" s="147">
        <f t="shared" si="7"/>
        <v>6</v>
      </c>
      <c r="K28" s="146">
        <f t="shared" si="7"/>
        <v>300</v>
      </c>
      <c r="L28" s="146">
        <f t="shared" si="7"/>
        <v>180</v>
      </c>
      <c r="M28" s="146">
        <f t="shared" si="7"/>
        <v>300</v>
      </c>
      <c r="N28" s="146">
        <f t="shared" si="2"/>
        <v>100</v>
      </c>
      <c r="O28" s="146">
        <f t="shared" si="8"/>
        <v>250</v>
      </c>
      <c r="P28" s="146">
        <f t="shared" si="8"/>
        <v>250</v>
      </c>
      <c r="Q28" s="146">
        <f t="shared" si="8"/>
        <v>5</v>
      </c>
      <c r="R28" s="146">
        <f t="shared" si="8"/>
        <v>250</v>
      </c>
      <c r="S28" s="146">
        <f t="shared" si="8"/>
        <v>250</v>
      </c>
      <c r="T28" s="146">
        <f t="shared" si="8"/>
        <v>250</v>
      </c>
      <c r="U28" s="146">
        <f t="shared" si="8"/>
        <v>0</v>
      </c>
      <c r="V28" s="146">
        <f t="shared" si="8"/>
        <v>0</v>
      </c>
      <c r="W28" s="79">
        <v>0</v>
      </c>
    </row>
    <row r="29" spans="1:23">
      <c r="C29" s="7" t="s">
        <v>96</v>
      </c>
      <c r="D29" s="7">
        <v>34</v>
      </c>
      <c r="E29" s="7">
        <f>'Sierra décalée'!Q28</f>
        <v>4</v>
      </c>
      <c r="F29" s="146">
        <f t="shared" si="7"/>
        <v>400</v>
      </c>
      <c r="G29" s="146">
        <f t="shared" si="7"/>
        <v>4</v>
      </c>
      <c r="H29" s="146">
        <f t="shared" si="7"/>
        <v>20</v>
      </c>
      <c r="I29" s="146">
        <f t="shared" si="7"/>
        <v>200</v>
      </c>
      <c r="J29" s="147">
        <f t="shared" si="7"/>
        <v>4</v>
      </c>
      <c r="K29" s="146">
        <f t="shared" si="7"/>
        <v>200</v>
      </c>
      <c r="L29" s="146">
        <f t="shared" si="7"/>
        <v>120</v>
      </c>
      <c r="M29" s="146">
        <f t="shared" si="7"/>
        <v>200</v>
      </c>
      <c r="N29" s="146">
        <f t="shared" si="2"/>
        <v>80</v>
      </c>
      <c r="O29" s="146">
        <f t="shared" si="8"/>
        <v>200</v>
      </c>
      <c r="P29" s="146">
        <f t="shared" si="8"/>
        <v>200</v>
      </c>
      <c r="Q29" s="146">
        <f t="shared" si="8"/>
        <v>4</v>
      </c>
      <c r="R29" s="146">
        <f t="shared" si="8"/>
        <v>200</v>
      </c>
      <c r="S29" s="146">
        <f t="shared" si="8"/>
        <v>200</v>
      </c>
      <c r="T29" s="146">
        <f t="shared" si="8"/>
        <v>200</v>
      </c>
      <c r="U29" s="146">
        <f t="shared" si="8"/>
        <v>0</v>
      </c>
      <c r="V29" s="146">
        <f t="shared" si="8"/>
        <v>0</v>
      </c>
      <c r="W29" s="79">
        <v>0</v>
      </c>
    </row>
    <row r="30" spans="1:23">
      <c r="C30" s="7" t="s">
        <v>220</v>
      </c>
      <c r="D30" s="7">
        <v>35</v>
      </c>
      <c r="E30" s="7">
        <f>'Sierra décalée'!Q29</f>
        <v>5.6</v>
      </c>
      <c r="F30" s="146">
        <f t="shared" si="7"/>
        <v>600</v>
      </c>
      <c r="G30" s="146">
        <f t="shared" si="7"/>
        <v>6</v>
      </c>
      <c r="H30" s="146">
        <f t="shared" si="7"/>
        <v>30</v>
      </c>
      <c r="I30" s="146">
        <f t="shared" si="7"/>
        <v>300</v>
      </c>
      <c r="J30" s="147">
        <f t="shared" si="7"/>
        <v>6</v>
      </c>
      <c r="K30" s="146">
        <f t="shared" si="7"/>
        <v>300</v>
      </c>
      <c r="L30" s="146">
        <f t="shared" si="7"/>
        <v>180</v>
      </c>
      <c r="M30" s="146">
        <f t="shared" si="7"/>
        <v>300</v>
      </c>
      <c r="N30" s="146">
        <f t="shared" si="2"/>
        <v>100</v>
      </c>
      <c r="O30" s="146">
        <f t="shared" si="8"/>
        <v>250</v>
      </c>
      <c r="P30" s="146">
        <f t="shared" si="8"/>
        <v>250</v>
      </c>
      <c r="Q30" s="146">
        <f t="shared" si="8"/>
        <v>5</v>
      </c>
      <c r="R30" s="146">
        <f t="shared" si="8"/>
        <v>250</v>
      </c>
      <c r="S30" s="146">
        <f t="shared" si="8"/>
        <v>250</v>
      </c>
      <c r="T30" s="146">
        <f t="shared" si="8"/>
        <v>250</v>
      </c>
      <c r="U30" s="146">
        <f t="shared" si="8"/>
        <v>0</v>
      </c>
      <c r="V30" s="146">
        <f t="shared" si="8"/>
        <v>0</v>
      </c>
      <c r="W30" s="79">
        <v>0</v>
      </c>
    </row>
    <row r="31" spans="1:23" ht="15" thickBot="1">
      <c r="C31" s="42" t="s">
        <v>21</v>
      </c>
      <c r="D31" s="126">
        <v>36</v>
      </c>
      <c r="E31" s="7">
        <f>'Sierra décalée'!Q30</f>
        <v>4.5</v>
      </c>
      <c r="F31" s="148">
        <f t="shared" si="7"/>
        <v>500</v>
      </c>
      <c r="G31" s="148">
        <f t="shared" si="7"/>
        <v>5</v>
      </c>
      <c r="H31" s="148">
        <f t="shared" si="7"/>
        <v>25</v>
      </c>
      <c r="I31" s="148">
        <f t="shared" si="7"/>
        <v>250</v>
      </c>
      <c r="J31" s="149">
        <f t="shared" si="7"/>
        <v>5</v>
      </c>
      <c r="K31" s="148">
        <f t="shared" si="7"/>
        <v>250</v>
      </c>
      <c r="L31" s="148">
        <f t="shared" si="7"/>
        <v>150</v>
      </c>
      <c r="M31" s="148">
        <f t="shared" si="7"/>
        <v>250</v>
      </c>
      <c r="N31" s="148">
        <f t="shared" si="2"/>
        <v>80</v>
      </c>
      <c r="O31" s="148">
        <f t="shared" si="8"/>
        <v>200</v>
      </c>
      <c r="P31" s="148">
        <f t="shared" si="8"/>
        <v>200</v>
      </c>
      <c r="Q31" s="148">
        <f t="shared" si="8"/>
        <v>4</v>
      </c>
      <c r="R31" s="148">
        <f t="shared" si="8"/>
        <v>200</v>
      </c>
      <c r="S31" s="148">
        <f t="shared" si="8"/>
        <v>200</v>
      </c>
      <c r="T31" s="148">
        <f t="shared" si="8"/>
        <v>200</v>
      </c>
      <c r="U31" s="148">
        <f t="shared" si="8"/>
        <v>0</v>
      </c>
      <c r="V31" s="148">
        <f t="shared" si="8"/>
        <v>0</v>
      </c>
      <c r="W31" s="79">
        <v>0</v>
      </c>
    </row>
    <row r="32" spans="1:23">
      <c r="C32" s="7" t="s">
        <v>162</v>
      </c>
      <c r="D32" s="7">
        <v>22</v>
      </c>
      <c r="E32" s="7">
        <f>'Sierra décalée'!Q31</f>
        <v>2.5</v>
      </c>
      <c r="F32" s="152">
        <f t="shared" si="7"/>
        <v>300</v>
      </c>
      <c r="G32" s="152">
        <f t="shared" si="7"/>
        <v>3</v>
      </c>
      <c r="H32" s="152">
        <f t="shared" si="7"/>
        <v>15</v>
      </c>
      <c r="I32" s="152">
        <f t="shared" si="7"/>
        <v>150</v>
      </c>
      <c r="J32" s="153">
        <f t="shared" si="7"/>
        <v>3</v>
      </c>
      <c r="K32" s="152">
        <f t="shared" si="7"/>
        <v>150</v>
      </c>
      <c r="L32" s="152">
        <f t="shared" si="7"/>
        <v>90</v>
      </c>
      <c r="M32" s="152">
        <f t="shared" si="7"/>
        <v>150</v>
      </c>
      <c r="N32" s="152">
        <f t="shared" si="2"/>
        <v>40</v>
      </c>
      <c r="O32" s="152">
        <f t="shared" si="8"/>
        <v>100</v>
      </c>
      <c r="P32" s="152">
        <f t="shared" si="8"/>
        <v>100</v>
      </c>
      <c r="Q32" s="152">
        <f t="shared" si="8"/>
        <v>2</v>
      </c>
      <c r="R32" s="152">
        <f t="shared" si="8"/>
        <v>100</v>
      </c>
      <c r="S32" s="152">
        <f t="shared" si="8"/>
        <v>100</v>
      </c>
      <c r="T32" s="152">
        <f t="shared" si="8"/>
        <v>100</v>
      </c>
      <c r="U32" s="152">
        <f t="shared" si="8"/>
        <v>0</v>
      </c>
      <c r="V32" s="152">
        <f t="shared" si="8"/>
        <v>0</v>
      </c>
      <c r="W32" s="79">
        <v>0</v>
      </c>
    </row>
    <row r="33" spans="3:23">
      <c r="C33" s="7" t="s">
        <v>163</v>
      </c>
      <c r="D33" s="7">
        <v>21</v>
      </c>
      <c r="E33" s="7">
        <f>'Sierra décalée'!Q32</f>
        <v>0.9</v>
      </c>
      <c r="F33" s="146">
        <f t="shared" si="7"/>
        <v>200</v>
      </c>
      <c r="G33" s="146">
        <f t="shared" si="7"/>
        <v>2</v>
      </c>
      <c r="H33" s="146">
        <f t="shared" si="7"/>
        <v>10</v>
      </c>
      <c r="I33" s="146">
        <f t="shared" si="7"/>
        <v>100</v>
      </c>
      <c r="J33" s="147">
        <f t="shared" si="7"/>
        <v>2</v>
      </c>
      <c r="K33" s="146">
        <f t="shared" si="7"/>
        <v>100</v>
      </c>
      <c r="L33" s="146">
        <f t="shared" si="7"/>
        <v>60</v>
      </c>
      <c r="M33" s="146">
        <f t="shared" si="7"/>
        <v>100</v>
      </c>
      <c r="N33" s="146">
        <f t="shared" si="2"/>
        <v>20</v>
      </c>
      <c r="O33" s="146">
        <f t="shared" si="8"/>
        <v>100</v>
      </c>
      <c r="P33" s="146">
        <f t="shared" si="8"/>
        <v>50</v>
      </c>
      <c r="Q33" s="146">
        <f t="shared" si="8"/>
        <v>1</v>
      </c>
      <c r="R33" s="146">
        <f t="shared" si="8"/>
        <v>50</v>
      </c>
      <c r="S33" s="146">
        <f t="shared" si="8"/>
        <v>50</v>
      </c>
      <c r="T33" s="146">
        <f t="shared" si="8"/>
        <v>50</v>
      </c>
      <c r="U33" s="146">
        <f t="shared" si="8"/>
        <v>0</v>
      </c>
      <c r="V33" s="146">
        <f t="shared" si="8"/>
        <v>0</v>
      </c>
      <c r="W33" s="79">
        <v>1</v>
      </c>
    </row>
    <row r="34" spans="3:23">
      <c r="C34" s="7" t="s">
        <v>164</v>
      </c>
      <c r="D34" s="7">
        <v>20</v>
      </c>
      <c r="E34" s="7">
        <f>'Sierra décalée'!Q33</f>
        <v>4.5999999999999996</v>
      </c>
      <c r="F34" s="150">
        <f t="shared" si="7"/>
        <v>400</v>
      </c>
      <c r="G34" s="150">
        <f t="shared" si="7"/>
        <v>4</v>
      </c>
      <c r="H34" s="150">
        <f t="shared" si="7"/>
        <v>20</v>
      </c>
      <c r="I34" s="150">
        <f t="shared" si="7"/>
        <v>200</v>
      </c>
      <c r="J34" s="151">
        <f t="shared" si="7"/>
        <v>4</v>
      </c>
      <c r="K34" s="150">
        <f t="shared" si="7"/>
        <v>200</v>
      </c>
      <c r="L34" s="150">
        <f t="shared" si="7"/>
        <v>120</v>
      </c>
      <c r="M34" s="150">
        <f t="shared" si="7"/>
        <v>200</v>
      </c>
      <c r="N34" s="146">
        <f t="shared" si="2"/>
        <v>80</v>
      </c>
      <c r="O34" s="146">
        <f t="shared" si="8"/>
        <v>200</v>
      </c>
      <c r="P34" s="146">
        <f t="shared" si="8"/>
        <v>200</v>
      </c>
      <c r="Q34" s="146">
        <f t="shared" si="8"/>
        <v>4</v>
      </c>
      <c r="R34" s="146">
        <f t="shared" si="8"/>
        <v>200</v>
      </c>
      <c r="S34" s="146">
        <f t="shared" si="8"/>
        <v>200</v>
      </c>
      <c r="T34" s="146">
        <f t="shared" si="8"/>
        <v>200</v>
      </c>
      <c r="U34" s="146">
        <f t="shared" si="8"/>
        <v>0</v>
      </c>
      <c r="V34" s="146">
        <f t="shared" si="8"/>
        <v>0</v>
      </c>
      <c r="W34" s="79">
        <v>1</v>
      </c>
    </row>
    <row r="35" spans="3:23">
      <c r="C35" s="7" t="s">
        <v>227</v>
      </c>
      <c r="D35" s="47">
        <v>19</v>
      </c>
      <c r="E35" s="7">
        <f>'Sierra décalée'!Q34</f>
        <v>3.5</v>
      </c>
      <c r="F35" s="77">
        <f t="shared" si="7"/>
        <v>400</v>
      </c>
      <c r="G35" s="77">
        <f t="shared" si="7"/>
        <v>4</v>
      </c>
      <c r="H35" s="77">
        <f t="shared" si="7"/>
        <v>20</v>
      </c>
      <c r="I35" s="77">
        <f t="shared" si="7"/>
        <v>200</v>
      </c>
      <c r="J35" s="145">
        <f t="shared" si="7"/>
        <v>4</v>
      </c>
      <c r="K35" s="77">
        <f t="shared" si="7"/>
        <v>200</v>
      </c>
      <c r="L35" s="77">
        <f t="shared" si="7"/>
        <v>120</v>
      </c>
      <c r="M35" s="77">
        <f t="shared" si="7"/>
        <v>200</v>
      </c>
      <c r="N35" s="77">
        <f t="shared" si="2"/>
        <v>60</v>
      </c>
      <c r="O35" s="77">
        <f t="shared" si="8"/>
        <v>150</v>
      </c>
      <c r="P35" s="77">
        <f t="shared" si="8"/>
        <v>150</v>
      </c>
      <c r="Q35" s="77">
        <f t="shared" si="8"/>
        <v>3</v>
      </c>
      <c r="R35" s="77">
        <f t="shared" si="8"/>
        <v>150</v>
      </c>
      <c r="S35" s="77">
        <f t="shared" si="8"/>
        <v>150</v>
      </c>
      <c r="T35" s="77">
        <f t="shared" si="8"/>
        <v>150</v>
      </c>
      <c r="U35" s="77">
        <f t="shared" si="8"/>
        <v>0</v>
      </c>
      <c r="V35" s="77">
        <f t="shared" si="8"/>
        <v>0</v>
      </c>
      <c r="W35" s="79">
        <v>0</v>
      </c>
    </row>
    <row r="36" spans="3:23">
      <c r="C36" s="7" t="s">
        <v>228</v>
      </c>
      <c r="D36" s="7">
        <v>18</v>
      </c>
      <c r="E36" s="7">
        <f>'Sierra décalée'!Q35</f>
        <v>5.7</v>
      </c>
      <c r="F36" s="146">
        <f t="shared" ref="F36:M41" si="9">(ROUNDUP($E36,0)*F$4)+F77</f>
        <v>600</v>
      </c>
      <c r="G36" s="146">
        <f t="shared" si="9"/>
        <v>6</v>
      </c>
      <c r="H36" s="146">
        <f t="shared" si="9"/>
        <v>30</v>
      </c>
      <c r="I36" s="146">
        <f t="shared" si="9"/>
        <v>300</v>
      </c>
      <c r="J36" s="147">
        <f t="shared" si="9"/>
        <v>6</v>
      </c>
      <c r="K36" s="146">
        <f t="shared" si="9"/>
        <v>300</v>
      </c>
      <c r="L36" s="146">
        <f t="shared" si="9"/>
        <v>180</v>
      </c>
      <c r="M36" s="146">
        <f t="shared" si="9"/>
        <v>300</v>
      </c>
      <c r="N36" s="146">
        <f t="shared" si="2"/>
        <v>100</v>
      </c>
      <c r="O36" s="146">
        <f t="shared" si="8"/>
        <v>250</v>
      </c>
      <c r="P36" s="146">
        <f t="shared" si="8"/>
        <v>250</v>
      </c>
      <c r="Q36" s="146">
        <f t="shared" si="8"/>
        <v>5</v>
      </c>
      <c r="R36" s="146">
        <f t="shared" si="8"/>
        <v>250</v>
      </c>
      <c r="S36" s="146">
        <f t="shared" si="8"/>
        <v>250</v>
      </c>
      <c r="T36" s="146">
        <f t="shared" si="8"/>
        <v>250</v>
      </c>
      <c r="U36" s="146">
        <f t="shared" si="8"/>
        <v>0</v>
      </c>
      <c r="V36" s="146">
        <f t="shared" si="8"/>
        <v>0</v>
      </c>
      <c r="W36" s="79">
        <v>0</v>
      </c>
    </row>
    <row r="37" spans="3:23">
      <c r="C37" s="7" t="s">
        <v>229</v>
      </c>
      <c r="D37" s="47">
        <v>17</v>
      </c>
      <c r="E37" s="7">
        <f>'Sierra décalée'!Q36</f>
        <v>3.8</v>
      </c>
      <c r="F37" s="77">
        <f t="shared" si="9"/>
        <v>400</v>
      </c>
      <c r="G37" s="77">
        <f t="shared" si="9"/>
        <v>4</v>
      </c>
      <c r="H37" s="77">
        <f t="shared" si="9"/>
        <v>20</v>
      </c>
      <c r="I37" s="77">
        <f t="shared" si="9"/>
        <v>200</v>
      </c>
      <c r="J37" s="145">
        <f t="shared" si="9"/>
        <v>4</v>
      </c>
      <c r="K37" s="77">
        <f t="shared" si="9"/>
        <v>200</v>
      </c>
      <c r="L37" s="77">
        <f t="shared" si="9"/>
        <v>120</v>
      </c>
      <c r="M37" s="77">
        <f t="shared" si="9"/>
        <v>200</v>
      </c>
      <c r="N37" s="77">
        <f t="shared" si="2"/>
        <v>60</v>
      </c>
      <c r="O37" s="77">
        <f t="shared" ref="O37:V41" si="10">(ROUNDDOWN($E37,0)*O$4)+O78</f>
        <v>150</v>
      </c>
      <c r="P37" s="77">
        <f t="shared" si="10"/>
        <v>150</v>
      </c>
      <c r="Q37" s="77">
        <f t="shared" si="10"/>
        <v>3</v>
      </c>
      <c r="R37" s="77">
        <f t="shared" si="10"/>
        <v>150</v>
      </c>
      <c r="S37" s="77">
        <f t="shared" si="10"/>
        <v>150</v>
      </c>
      <c r="T37" s="77">
        <f t="shared" si="10"/>
        <v>150</v>
      </c>
      <c r="U37" s="77">
        <f t="shared" si="10"/>
        <v>0</v>
      </c>
      <c r="V37" s="77">
        <f t="shared" si="10"/>
        <v>0</v>
      </c>
      <c r="W37" s="79">
        <v>0</v>
      </c>
    </row>
    <row r="38" spans="3:23" ht="18.75" customHeight="1">
      <c r="C38" s="7" t="s">
        <v>230</v>
      </c>
      <c r="D38" s="7">
        <v>16</v>
      </c>
      <c r="E38" s="7">
        <f>'Sierra décalée'!Q37</f>
        <v>4.3</v>
      </c>
      <c r="F38" s="154">
        <f t="shared" si="9"/>
        <v>500</v>
      </c>
      <c r="G38" s="154">
        <f t="shared" si="9"/>
        <v>5</v>
      </c>
      <c r="H38" s="154">
        <f t="shared" si="9"/>
        <v>25</v>
      </c>
      <c r="I38" s="154">
        <f t="shared" si="9"/>
        <v>250</v>
      </c>
      <c r="J38" s="155">
        <f t="shared" si="9"/>
        <v>5</v>
      </c>
      <c r="K38" s="154">
        <f t="shared" si="9"/>
        <v>250</v>
      </c>
      <c r="L38" s="154">
        <f t="shared" si="9"/>
        <v>150</v>
      </c>
      <c r="M38" s="154">
        <f t="shared" si="9"/>
        <v>250</v>
      </c>
      <c r="N38" s="154">
        <f t="shared" si="2"/>
        <v>80</v>
      </c>
      <c r="O38" s="154">
        <f t="shared" si="10"/>
        <v>200</v>
      </c>
      <c r="P38" s="154">
        <f t="shared" si="10"/>
        <v>200</v>
      </c>
      <c r="Q38" s="154">
        <f t="shared" si="10"/>
        <v>4</v>
      </c>
      <c r="R38" s="154">
        <f t="shared" si="10"/>
        <v>200</v>
      </c>
      <c r="S38" s="154">
        <f t="shared" si="10"/>
        <v>200</v>
      </c>
      <c r="T38" s="154">
        <f t="shared" si="10"/>
        <v>200</v>
      </c>
      <c r="U38" s="154">
        <f t="shared" si="10"/>
        <v>0</v>
      </c>
      <c r="V38" s="154">
        <f t="shared" si="10"/>
        <v>0</v>
      </c>
      <c r="W38" s="79">
        <v>0</v>
      </c>
    </row>
    <row r="39" spans="3:23">
      <c r="C39" s="7" t="s">
        <v>231</v>
      </c>
      <c r="D39" s="47">
        <v>15</v>
      </c>
      <c r="E39" s="7">
        <f>'Sierra décalée'!Q38</f>
        <v>3.8</v>
      </c>
      <c r="F39" s="146">
        <f t="shared" si="9"/>
        <v>400</v>
      </c>
      <c r="G39" s="146">
        <f t="shared" si="9"/>
        <v>4</v>
      </c>
      <c r="H39" s="146">
        <f t="shared" si="9"/>
        <v>20</v>
      </c>
      <c r="I39" s="146">
        <f t="shared" si="9"/>
        <v>200</v>
      </c>
      <c r="J39" s="147">
        <f t="shared" si="9"/>
        <v>4</v>
      </c>
      <c r="K39" s="146">
        <f t="shared" si="9"/>
        <v>200</v>
      </c>
      <c r="L39" s="146">
        <f t="shared" si="9"/>
        <v>120</v>
      </c>
      <c r="M39" s="146">
        <f t="shared" si="9"/>
        <v>200</v>
      </c>
      <c r="N39" s="146">
        <f t="shared" si="2"/>
        <v>60</v>
      </c>
      <c r="O39" s="146">
        <f t="shared" si="10"/>
        <v>150</v>
      </c>
      <c r="P39" s="146">
        <f t="shared" si="10"/>
        <v>150</v>
      </c>
      <c r="Q39" s="146">
        <f t="shared" si="10"/>
        <v>3</v>
      </c>
      <c r="R39" s="146">
        <f t="shared" si="10"/>
        <v>150</v>
      </c>
      <c r="S39" s="146">
        <f t="shared" si="10"/>
        <v>150</v>
      </c>
      <c r="T39" s="146">
        <f t="shared" si="10"/>
        <v>150</v>
      </c>
      <c r="U39" s="146">
        <f t="shared" si="10"/>
        <v>0</v>
      </c>
      <c r="V39" s="146">
        <f t="shared" si="10"/>
        <v>0</v>
      </c>
      <c r="W39" s="79">
        <v>0</v>
      </c>
    </row>
    <row r="40" spans="3:23">
      <c r="C40" s="7" t="s">
        <v>232</v>
      </c>
      <c r="D40" s="47">
        <v>14</v>
      </c>
      <c r="E40" s="7">
        <f>'Sierra décalée'!Q39</f>
        <v>5.8</v>
      </c>
      <c r="F40" s="146">
        <f t="shared" si="9"/>
        <v>600</v>
      </c>
      <c r="G40" s="146">
        <f t="shared" si="9"/>
        <v>6</v>
      </c>
      <c r="H40" s="146">
        <f t="shared" si="9"/>
        <v>30</v>
      </c>
      <c r="I40" s="146">
        <f t="shared" si="9"/>
        <v>300</v>
      </c>
      <c r="J40" s="147">
        <f t="shared" si="9"/>
        <v>6</v>
      </c>
      <c r="K40" s="146">
        <f t="shared" si="9"/>
        <v>300</v>
      </c>
      <c r="L40" s="146">
        <f t="shared" si="9"/>
        <v>180</v>
      </c>
      <c r="M40" s="146">
        <f t="shared" si="9"/>
        <v>300</v>
      </c>
      <c r="N40" s="146">
        <f t="shared" si="2"/>
        <v>100</v>
      </c>
      <c r="O40" s="146">
        <f t="shared" si="10"/>
        <v>250</v>
      </c>
      <c r="P40" s="146">
        <f t="shared" si="10"/>
        <v>250</v>
      </c>
      <c r="Q40" s="146">
        <f t="shared" si="10"/>
        <v>5</v>
      </c>
      <c r="R40" s="146">
        <f t="shared" si="10"/>
        <v>250</v>
      </c>
      <c r="S40" s="146">
        <f t="shared" si="10"/>
        <v>250</v>
      </c>
      <c r="T40" s="146">
        <f t="shared" si="10"/>
        <v>250</v>
      </c>
      <c r="U40" s="146">
        <f t="shared" si="10"/>
        <v>0</v>
      </c>
      <c r="V40" s="146">
        <f t="shared" si="10"/>
        <v>0</v>
      </c>
      <c r="W40" s="79">
        <v>0</v>
      </c>
    </row>
    <row r="41" spans="3:23">
      <c r="C41" s="7" t="s">
        <v>233</v>
      </c>
      <c r="D41" s="7">
        <v>13</v>
      </c>
      <c r="E41" s="7">
        <f>'Sierra décalée'!Q40</f>
        <v>3.3</v>
      </c>
      <c r="F41" s="146">
        <f t="shared" si="9"/>
        <v>400</v>
      </c>
      <c r="G41" s="146">
        <f t="shared" si="9"/>
        <v>4</v>
      </c>
      <c r="H41" s="146">
        <f t="shared" si="9"/>
        <v>20</v>
      </c>
      <c r="I41" s="146">
        <f t="shared" si="9"/>
        <v>200</v>
      </c>
      <c r="J41" s="147">
        <f t="shared" si="9"/>
        <v>4</v>
      </c>
      <c r="K41" s="146">
        <f t="shared" si="9"/>
        <v>200</v>
      </c>
      <c r="L41" s="146">
        <f t="shared" si="9"/>
        <v>120</v>
      </c>
      <c r="M41" s="146">
        <f t="shared" si="9"/>
        <v>200</v>
      </c>
      <c r="N41" s="146">
        <f t="shared" si="2"/>
        <v>60</v>
      </c>
      <c r="O41" s="146">
        <f t="shared" si="10"/>
        <v>150</v>
      </c>
      <c r="P41" s="146">
        <f t="shared" si="10"/>
        <v>150</v>
      </c>
      <c r="Q41" s="146">
        <f t="shared" si="10"/>
        <v>3</v>
      </c>
      <c r="R41" s="146">
        <f t="shared" si="10"/>
        <v>150</v>
      </c>
      <c r="S41" s="146">
        <f t="shared" si="10"/>
        <v>150</v>
      </c>
      <c r="T41" s="146">
        <f t="shared" si="10"/>
        <v>150</v>
      </c>
      <c r="U41" s="146">
        <f t="shared" si="10"/>
        <v>0</v>
      </c>
      <c r="V41" s="146">
        <f t="shared" si="10"/>
        <v>0</v>
      </c>
      <c r="W41" s="79">
        <v>0</v>
      </c>
    </row>
    <row r="42" spans="3:23">
      <c r="F42" s="210" t="s">
        <v>134</v>
      </c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</row>
    <row r="43" spans="3:23">
      <c r="F43" s="211" t="s">
        <v>125</v>
      </c>
      <c r="G43" s="211"/>
      <c r="H43" s="212" t="s">
        <v>130</v>
      </c>
      <c r="I43" s="212"/>
      <c r="J43" s="212"/>
      <c r="K43" s="212"/>
      <c r="L43" s="212"/>
      <c r="M43" s="212"/>
      <c r="N43" s="213" t="s">
        <v>115</v>
      </c>
      <c r="O43" s="213"/>
      <c r="P43" s="213"/>
      <c r="Q43" s="213"/>
      <c r="R43" s="213"/>
      <c r="S43" s="213"/>
      <c r="T43" s="213"/>
    </row>
    <row r="44" spans="3:23">
      <c r="C44" s="133" t="s">
        <v>114</v>
      </c>
      <c r="D44" s="134" t="s">
        <v>126</v>
      </c>
      <c r="E44" s="135" t="s">
        <v>61</v>
      </c>
      <c r="F44" s="134" t="s">
        <v>116</v>
      </c>
      <c r="G44" s="134" t="s">
        <v>117</v>
      </c>
      <c r="H44" s="134" t="s">
        <v>118</v>
      </c>
      <c r="I44" s="134" t="s">
        <v>119</v>
      </c>
      <c r="J44" s="134" t="s">
        <v>122</v>
      </c>
      <c r="K44" s="134" t="s">
        <v>120</v>
      </c>
      <c r="L44" s="134" t="s">
        <v>121</v>
      </c>
      <c r="M44" s="134" t="s">
        <v>128</v>
      </c>
      <c r="N44" s="134" t="s">
        <v>123</v>
      </c>
      <c r="O44" s="134" t="s">
        <v>186</v>
      </c>
      <c r="P44" s="134" t="s">
        <v>129</v>
      </c>
      <c r="Q44" s="134" t="s">
        <v>124</v>
      </c>
      <c r="R44" s="134" t="s">
        <v>128</v>
      </c>
      <c r="S44" s="134" t="s">
        <v>120</v>
      </c>
      <c r="T44" s="134" t="s">
        <v>119</v>
      </c>
    </row>
    <row r="45" spans="3:23">
      <c r="C45" s="133"/>
      <c r="D45" s="134">
        <v>1</v>
      </c>
      <c r="E45" s="135"/>
      <c r="F45" s="134">
        <v>100</v>
      </c>
      <c r="G45" s="134">
        <v>1</v>
      </c>
      <c r="H45" s="134">
        <v>5</v>
      </c>
      <c r="I45" s="134">
        <v>50</v>
      </c>
      <c r="J45" s="134">
        <f>achats!F$43/100</f>
        <v>1</v>
      </c>
      <c r="K45" s="134">
        <v>50</v>
      </c>
      <c r="L45" s="139">
        <f>achats!F$45</f>
        <v>30</v>
      </c>
      <c r="M45" s="139">
        <f>achats!F$37</f>
        <v>50</v>
      </c>
      <c r="N45" s="134">
        <v>20</v>
      </c>
      <c r="O45" s="134">
        <v>100</v>
      </c>
      <c r="P45" s="134">
        <v>50</v>
      </c>
      <c r="Q45" s="134">
        <v>1</v>
      </c>
      <c r="R45" s="77">
        <v>50</v>
      </c>
      <c r="S45" s="77">
        <v>50</v>
      </c>
      <c r="T45" s="77">
        <v>50</v>
      </c>
    </row>
    <row r="46" spans="3:23">
      <c r="C46" s="141" t="s">
        <v>127</v>
      </c>
      <c r="F46" s="156">
        <f t="shared" ref="F46:T46" si="11">SUM(F47:F82)</f>
        <v>-100</v>
      </c>
      <c r="G46" s="156">
        <f t="shared" si="11"/>
        <v>-1</v>
      </c>
      <c r="H46" s="156">
        <f t="shared" si="11"/>
        <v>-5</v>
      </c>
      <c r="I46" s="156">
        <f t="shared" si="11"/>
        <v>-50</v>
      </c>
      <c r="J46" s="157">
        <f t="shared" si="11"/>
        <v>-1</v>
      </c>
      <c r="K46" s="156">
        <f t="shared" si="11"/>
        <v>-50</v>
      </c>
      <c r="L46" s="156">
        <f t="shared" si="11"/>
        <v>-30</v>
      </c>
      <c r="M46" s="156">
        <f t="shared" si="11"/>
        <v>-50</v>
      </c>
      <c r="N46" s="156">
        <f t="shared" si="11"/>
        <v>20</v>
      </c>
      <c r="O46" s="156">
        <f t="shared" si="11"/>
        <v>100</v>
      </c>
      <c r="P46" s="156">
        <f t="shared" si="11"/>
        <v>50</v>
      </c>
      <c r="Q46" s="157">
        <f t="shared" si="11"/>
        <v>5</v>
      </c>
      <c r="R46" s="156">
        <f t="shared" si="11"/>
        <v>100</v>
      </c>
      <c r="S46" s="156">
        <f t="shared" si="11"/>
        <v>250</v>
      </c>
      <c r="T46" s="156">
        <f t="shared" si="11"/>
        <v>100</v>
      </c>
    </row>
    <row r="47" spans="3:23" ht="18" customHeight="1">
      <c r="C47" s="7" t="str">
        <f>C6</f>
        <v>US/Mexico Border to Mt Laguna</v>
      </c>
      <c r="D47" s="77">
        <f>D6</f>
        <v>1</v>
      </c>
      <c r="E47" s="77">
        <f>E6</f>
        <v>2.4</v>
      </c>
      <c r="F47" s="77">
        <v>0</v>
      </c>
      <c r="G47" s="77">
        <v>0</v>
      </c>
      <c r="H47" s="77">
        <v>0</v>
      </c>
      <c r="I47" s="77">
        <v>0</v>
      </c>
      <c r="J47" s="145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145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9">
        <f>W6</f>
        <v>0</v>
      </c>
    </row>
    <row r="48" spans="3:23">
      <c r="C48" s="7" t="str">
        <f t="shared" ref="C48:E63" si="12">C7</f>
        <v>Mt Laguna to Warner Springs</v>
      </c>
      <c r="D48" s="77">
        <f t="shared" si="12"/>
        <v>2</v>
      </c>
      <c r="E48" s="77">
        <f t="shared" si="12"/>
        <v>3.5</v>
      </c>
      <c r="F48" s="77">
        <v>0</v>
      </c>
      <c r="G48" s="77">
        <v>0</v>
      </c>
      <c r="H48" s="77">
        <v>0</v>
      </c>
      <c r="I48" s="77">
        <v>0</v>
      </c>
      <c r="J48" s="145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145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9">
        <f t="shared" ref="W48:W82" si="13">W7</f>
        <v>0</v>
      </c>
    </row>
    <row r="49" spans="3:23">
      <c r="C49" s="7" t="str">
        <f t="shared" si="12"/>
        <v>Warner Springs to Paradise Corner Café</v>
      </c>
      <c r="D49" s="77">
        <f t="shared" si="12"/>
        <v>3</v>
      </c>
      <c r="E49" s="77">
        <f t="shared" si="12"/>
        <v>2.4</v>
      </c>
      <c r="F49" s="77">
        <v>0</v>
      </c>
      <c r="G49" s="77">
        <v>0</v>
      </c>
      <c r="H49" s="77">
        <v>0</v>
      </c>
      <c r="I49" s="77">
        <v>0</v>
      </c>
      <c r="J49" s="145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145">
        <v>1</v>
      </c>
      <c r="R49" s="77">
        <v>50</v>
      </c>
      <c r="S49" s="77">
        <v>50</v>
      </c>
      <c r="T49" s="77">
        <v>50</v>
      </c>
      <c r="U49" s="77">
        <v>0</v>
      </c>
      <c r="V49" s="77">
        <v>0</v>
      </c>
      <c r="W49" s="79">
        <f t="shared" si="13"/>
        <v>1</v>
      </c>
    </row>
    <row r="50" spans="3:23">
      <c r="C50" s="7" t="str">
        <f t="shared" si="12"/>
        <v>Paradise Corner Café to Idyllwild (CLOSURE)</v>
      </c>
      <c r="D50" s="77">
        <f t="shared" si="12"/>
        <v>4</v>
      </c>
      <c r="E50" s="77">
        <f t="shared" si="12"/>
        <v>0.99</v>
      </c>
      <c r="F50" s="77">
        <v>-100</v>
      </c>
      <c r="G50" s="77">
        <v>-1</v>
      </c>
      <c r="H50" s="77">
        <v>-5</v>
      </c>
      <c r="I50" s="77">
        <v>-50</v>
      </c>
      <c r="J50" s="145">
        <v>-1</v>
      </c>
      <c r="K50" s="77">
        <v>-50</v>
      </c>
      <c r="L50" s="77">
        <v>-30</v>
      </c>
      <c r="M50" s="77">
        <v>-50</v>
      </c>
      <c r="N50" s="77">
        <v>0</v>
      </c>
      <c r="O50" s="77">
        <v>0</v>
      </c>
      <c r="P50" s="77">
        <v>0</v>
      </c>
      <c r="Q50" s="145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9">
        <f t="shared" si="13"/>
        <v>1</v>
      </c>
    </row>
    <row r="51" spans="3:23">
      <c r="C51" s="7" t="str">
        <f t="shared" si="12"/>
        <v xml:space="preserve"> Idyllwild to Ziggy and the Bear</v>
      </c>
      <c r="D51" s="77">
        <f t="shared" si="12"/>
        <v>5</v>
      </c>
      <c r="E51" s="77">
        <f t="shared" si="12"/>
        <v>1.9</v>
      </c>
      <c r="F51" s="77">
        <v>0</v>
      </c>
      <c r="G51" s="77">
        <v>0</v>
      </c>
      <c r="H51" s="77">
        <v>0</v>
      </c>
      <c r="I51" s="77">
        <v>0</v>
      </c>
      <c r="J51" s="145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145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9">
        <f t="shared" si="13"/>
        <v>0</v>
      </c>
    </row>
    <row r="52" spans="3:23" ht="17.25" customHeight="1">
      <c r="C52" s="7" t="str">
        <f t="shared" si="12"/>
        <v>Ziggy and the Bear to Big Bear City (CLOSURE)</v>
      </c>
      <c r="D52" s="77">
        <f t="shared" si="12"/>
        <v>6</v>
      </c>
      <c r="E52" s="77">
        <f t="shared" si="12"/>
        <v>0.9</v>
      </c>
      <c r="F52" s="77">
        <v>0</v>
      </c>
      <c r="G52" s="77">
        <v>0</v>
      </c>
      <c r="H52" s="77">
        <v>0</v>
      </c>
      <c r="I52" s="77">
        <v>0</v>
      </c>
      <c r="J52" s="145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145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9">
        <f t="shared" si="13"/>
        <v>0</v>
      </c>
    </row>
    <row r="53" spans="3:23">
      <c r="C53" s="7" t="str">
        <f t="shared" si="12"/>
        <v>Bear to Big Bear to Wrightwood</v>
      </c>
      <c r="D53" s="77">
        <f t="shared" si="12"/>
        <v>7</v>
      </c>
      <c r="E53" s="77">
        <f t="shared" si="12"/>
        <v>4.9000000000000004</v>
      </c>
      <c r="F53" s="77">
        <v>0</v>
      </c>
      <c r="G53" s="77">
        <v>0</v>
      </c>
      <c r="H53" s="77">
        <v>0</v>
      </c>
      <c r="I53" s="77">
        <v>0</v>
      </c>
      <c r="J53" s="145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145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9">
        <f t="shared" si="13"/>
        <v>0</v>
      </c>
    </row>
    <row r="54" spans="3:23">
      <c r="C54" s="7" t="str">
        <f t="shared" si="12"/>
        <v>Wrightwood to Agua Dulce</v>
      </c>
      <c r="D54" s="77">
        <f t="shared" si="12"/>
        <v>8</v>
      </c>
      <c r="E54" s="77">
        <f t="shared" si="12"/>
        <v>4.9000000000000004</v>
      </c>
      <c r="F54" s="77">
        <v>0</v>
      </c>
      <c r="G54" s="77">
        <v>0</v>
      </c>
      <c r="H54" s="77">
        <v>0</v>
      </c>
      <c r="I54" s="77">
        <v>0</v>
      </c>
      <c r="J54" s="145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145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9">
        <f t="shared" si="13"/>
        <v>0</v>
      </c>
    </row>
    <row r="55" spans="3:23">
      <c r="C55" s="7" t="str">
        <f t="shared" si="12"/>
        <v xml:space="preserve"> Agua Dulce to Tehachapi DETOUR à pied</v>
      </c>
      <c r="D55" s="77">
        <f t="shared" si="12"/>
        <v>9</v>
      </c>
      <c r="E55" s="77">
        <f t="shared" si="12"/>
        <v>5.6</v>
      </c>
      <c r="F55" s="77">
        <v>0</v>
      </c>
      <c r="G55" s="77">
        <v>0</v>
      </c>
      <c r="H55" s="77">
        <v>0</v>
      </c>
      <c r="I55" s="77">
        <v>0</v>
      </c>
      <c r="J55" s="145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145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9">
        <f t="shared" si="13"/>
        <v>0</v>
      </c>
    </row>
    <row r="56" spans="3:23">
      <c r="C56" s="7" t="str">
        <f t="shared" si="12"/>
        <v>Tehachapi to Lake Isabella</v>
      </c>
      <c r="D56" s="77">
        <f t="shared" si="12"/>
        <v>10</v>
      </c>
      <c r="E56" s="77">
        <f t="shared" si="12"/>
        <v>4.9000000000000004</v>
      </c>
      <c r="F56" s="77">
        <v>0</v>
      </c>
      <c r="G56" s="77">
        <v>0</v>
      </c>
      <c r="H56" s="77">
        <v>0</v>
      </c>
      <c r="I56" s="77">
        <v>0</v>
      </c>
      <c r="J56" s="145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145">
        <v>1</v>
      </c>
      <c r="R56" s="77">
        <v>0</v>
      </c>
      <c r="S56" s="77">
        <v>50</v>
      </c>
      <c r="T56" s="77">
        <v>0</v>
      </c>
      <c r="U56" s="77">
        <v>0</v>
      </c>
      <c r="V56" s="77">
        <v>0</v>
      </c>
      <c r="W56" s="79">
        <f t="shared" si="13"/>
        <v>1</v>
      </c>
    </row>
    <row r="57" spans="3:23">
      <c r="C57" s="7" t="str">
        <f t="shared" si="12"/>
        <v>Lake Isabella to Kennedy Meadows Store</v>
      </c>
      <c r="D57" s="77">
        <f t="shared" si="12"/>
        <v>11</v>
      </c>
      <c r="E57" s="77">
        <f t="shared" si="12"/>
        <v>2.8</v>
      </c>
      <c r="F57" s="77">
        <v>0</v>
      </c>
      <c r="G57" s="77">
        <v>0</v>
      </c>
      <c r="H57" s="77">
        <v>0</v>
      </c>
      <c r="I57" s="77">
        <v>0</v>
      </c>
      <c r="J57" s="145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145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9">
        <f t="shared" si="13"/>
        <v>0</v>
      </c>
    </row>
    <row r="58" spans="3:23">
      <c r="C58" s="7" t="str">
        <f t="shared" si="12"/>
        <v>Kennedy Meadows to Lone Pine</v>
      </c>
      <c r="D58" s="77">
        <f t="shared" si="12"/>
        <v>12</v>
      </c>
      <c r="E58" s="77">
        <f t="shared" si="12"/>
        <v>2.9</v>
      </c>
      <c r="F58" s="77">
        <v>0</v>
      </c>
      <c r="G58" s="77">
        <v>0</v>
      </c>
      <c r="H58" s="77">
        <v>0</v>
      </c>
      <c r="I58" s="77">
        <v>0</v>
      </c>
      <c r="J58" s="145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145">
        <v>2</v>
      </c>
      <c r="R58" s="77">
        <v>0</v>
      </c>
      <c r="S58" s="77">
        <v>100</v>
      </c>
      <c r="T58" s="77">
        <v>0</v>
      </c>
      <c r="U58" s="77">
        <v>0</v>
      </c>
      <c r="V58" s="77">
        <v>0</v>
      </c>
      <c r="W58" s="79">
        <f t="shared" si="13"/>
        <v>1</v>
      </c>
    </row>
    <row r="59" spans="3:23">
      <c r="C59" s="7" t="str">
        <f t="shared" si="12"/>
        <v>Burney Falls SP to Castella</v>
      </c>
      <c r="D59" s="77">
        <f t="shared" si="12"/>
        <v>23</v>
      </c>
      <c r="E59" s="77">
        <f t="shared" si="12"/>
        <v>3.8</v>
      </c>
      <c r="F59" s="77">
        <v>0</v>
      </c>
      <c r="G59" s="77">
        <v>0</v>
      </c>
      <c r="H59" s="77">
        <v>0</v>
      </c>
      <c r="I59" s="77">
        <v>0</v>
      </c>
      <c r="J59" s="145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145">
        <v>0</v>
      </c>
      <c r="R59" s="77">
        <v>0</v>
      </c>
      <c r="S59" s="77">
        <v>0</v>
      </c>
      <c r="T59" s="77">
        <v>0</v>
      </c>
      <c r="U59" s="77">
        <v>0</v>
      </c>
      <c r="V59" s="77">
        <v>0</v>
      </c>
      <c r="W59" s="79">
        <f t="shared" si="13"/>
        <v>0</v>
      </c>
    </row>
    <row r="60" spans="3:23">
      <c r="C60" s="7" t="str">
        <f t="shared" si="12"/>
        <v>Mt. Shasta City to Etna</v>
      </c>
      <c r="D60" s="77">
        <f t="shared" si="12"/>
        <v>24</v>
      </c>
      <c r="E60" s="77">
        <f t="shared" si="12"/>
        <v>4.8</v>
      </c>
      <c r="F60" s="77">
        <v>0</v>
      </c>
      <c r="G60" s="77">
        <v>0</v>
      </c>
      <c r="H60" s="77">
        <v>0</v>
      </c>
      <c r="I60" s="77">
        <v>0</v>
      </c>
      <c r="J60" s="145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145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9">
        <f t="shared" si="13"/>
        <v>0</v>
      </c>
    </row>
    <row r="61" spans="3:23">
      <c r="C61" s="7" t="str">
        <f t="shared" si="12"/>
        <v>Etna to Seiad Valley</v>
      </c>
      <c r="D61" s="77">
        <f t="shared" si="12"/>
        <v>25</v>
      </c>
      <c r="E61" s="77">
        <f t="shared" si="12"/>
        <v>2.6</v>
      </c>
      <c r="F61" s="77">
        <v>0</v>
      </c>
      <c r="G61" s="77">
        <v>0</v>
      </c>
      <c r="H61" s="77">
        <v>0</v>
      </c>
      <c r="I61" s="77">
        <v>0</v>
      </c>
      <c r="J61" s="145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145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9">
        <f t="shared" si="13"/>
        <v>0</v>
      </c>
    </row>
    <row r="62" spans="3:23">
      <c r="C62" s="7" t="str">
        <f t="shared" si="12"/>
        <v>Seiad Valley to Ashland</v>
      </c>
      <c r="D62" s="77">
        <f t="shared" si="12"/>
        <v>26</v>
      </c>
      <c r="E62" s="77">
        <f t="shared" si="12"/>
        <v>3.3</v>
      </c>
      <c r="F62" s="77">
        <v>0</v>
      </c>
      <c r="G62" s="77">
        <v>0</v>
      </c>
      <c r="H62" s="77">
        <v>0</v>
      </c>
      <c r="I62" s="77">
        <v>0</v>
      </c>
      <c r="J62" s="145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145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9">
        <f t="shared" si="13"/>
        <v>0</v>
      </c>
    </row>
    <row r="63" spans="3:23">
      <c r="C63" s="7" t="str">
        <f t="shared" si="12"/>
        <v>Ashland to Crater Lake (Mazama Village)</v>
      </c>
      <c r="D63" s="77">
        <f t="shared" si="12"/>
        <v>27</v>
      </c>
      <c r="E63" s="77">
        <f t="shared" si="12"/>
        <v>5.2</v>
      </c>
      <c r="F63" s="77">
        <v>0</v>
      </c>
      <c r="G63" s="77">
        <v>0</v>
      </c>
      <c r="H63" s="77">
        <v>0</v>
      </c>
      <c r="I63" s="77">
        <v>0</v>
      </c>
      <c r="J63" s="145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145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9">
        <f t="shared" si="13"/>
        <v>0</v>
      </c>
    </row>
    <row r="64" spans="3:23" ht="16.5" customHeight="1">
      <c r="C64" s="7" t="str">
        <f t="shared" ref="C64:E79" si="14">C23</f>
        <v>Crater Lake  to Shelter Cove Resort</v>
      </c>
      <c r="D64" s="77">
        <f t="shared" si="14"/>
        <v>28</v>
      </c>
      <c r="E64" s="77">
        <f t="shared" si="14"/>
        <v>3.9</v>
      </c>
      <c r="F64" s="77">
        <v>0</v>
      </c>
      <c r="G64" s="77">
        <v>0</v>
      </c>
      <c r="H64" s="77">
        <v>0</v>
      </c>
      <c r="I64" s="77">
        <v>0</v>
      </c>
      <c r="J64" s="145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145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9">
        <f t="shared" si="13"/>
        <v>0</v>
      </c>
    </row>
    <row r="65" spans="3:23">
      <c r="C65" s="7" t="str">
        <f t="shared" si="14"/>
        <v>Shelter Cove Resort to Big Lake Youth Camp</v>
      </c>
      <c r="D65" s="77">
        <f t="shared" si="14"/>
        <v>29</v>
      </c>
      <c r="E65" s="77">
        <f t="shared" si="14"/>
        <v>3.6</v>
      </c>
      <c r="F65" s="77">
        <v>0</v>
      </c>
      <c r="G65" s="77">
        <v>0</v>
      </c>
      <c r="H65" s="77">
        <v>0</v>
      </c>
      <c r="I65" s="77">
        <v>0</v>
      </c>
      <c r="J65" s="145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145"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9">
        <f t="shared" si="13"/>
        <v>0</v>
      </c>
    </row>
    <row r="66" spans="3:23">
      <c r="C66" s="7" t="str">
        <f t="shared" si="14"/>
        <v>Big Lake Youth Camp to Timberline Lodge</v>
      </c>
      <c r="D66" s="77">
        <f t="shared" si="14"/>
        <v>30</v>
      </c>
      <c r="E66" s="77">
        <f t="shared" si="14"/>
        <v>5.8</v>
      </c>
      <c r="F66" s="77">
        <v>0</v>
      </c>
      <c r="G66" s="77">
        <v>0</v>
      </c>
      <c r="H66" s="77">
        <v>0</v>
      </c>
      <c r="I66" s="77">
        <v>0</v>
      </c>
      <c r="J66" s="145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145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9">
        <f t="shared" si="13"/>
        <v>0</v>
      </c>
    </row>
    <row r="67" spans="3:23">
      <c r="C67" s="7" t="str">
        <f t="shared" si="14"/>
        <v>Timberline Lodge to Cascade Locks</v>
      </c>
      <c r="D67" s="77">
        <f t="shared" si="14"/>
        <v>31</v>
      </c>
      <c r="E67" s="77">
        <f t="shared" si="14"/>
        <v>2.2000000000000002</v>
      </c>
      <c r="F67" s="77">
        <v>0</v>
      </c>
      <c r="G67" s="77">
        <v>0</v>
      </c>
      <c r="H67" s="77">
        <v>0</v>
      </c>
      <c r="I67" s="77">
        <v>0</v>
      </c>
      <c r="J67" s="145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145">
        <v>0</v>
      </c>
      <c r="R67" s="77">
        <v>0</v>
      </c>
      <c r="S67" s="77">
        <v>0</v>
      </c>
      <c r="T67" s="77">
        <v>0</v>
      </c>
      <c r="U67" s="77">
        <v>0</v>
      </c>
      <c r="V67" s="77">
        <v>0</v>
      </c>
      <c r="W67" s="79">
        <f t="shared" si="13"/>
        <v>0</v>
      </c>
    </row>
    <row r="68" spans="3:23">
      <c r="C68" s="7" t="str">
        <f t="shared" si="14"/>
        <v>Cascade Locks to White Pass</v>
      </c>
      <c r="D68" s="77">
        <f t="shared" si="14"/>
        <v>32</v>
      </c>
      <c r="E68" s="77">
        <f t="shared" si="14"/>
        <v>7.6</v>
      </c>
      <c r="F68" s="77">
        <v>0</v>
      </c>
      <c r="G68" s="77">
        <v>0</v>
      </c>
      <c r="H68" s="77">
        <v>0</v>
      </c>
      <c r="I68" s="77">
        <v>0</v>
      </c>
      <c r="J68" s="145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145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9">
        <f t="shared" si="13"/>
        <v>0</v>
      </c>
    </row>
    <row r="69" spans="3:23">
      <c r="C69" s="7" t="str">
        <f t="shared" si="14"/>
        <v>White Pass to Snoqualmie Pass</v>
      </c>
      <c r="D69" s="77">
        <f t="shared" si="14"/>
        <v>33</v>
      </c>
      <c r="E69" s="77">
        <f t="shared" si="14"/>
        <v>5.2</v>
      </c>
      <c r="F69" s="77">
        <v>0</v>
      </c>
      <c r="G69" s="77">
        <v>0</v>
      </c>
      <c r="H69" s="77">
        <v>0</v>
      </c>
      <c r="I69" s="77">
        <v>0</v>
      </c>
      <c r="J69" s="145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145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9">
        <f t="shared" si="13"/>
        <v>0</v>
      </c>
    </row>
    <row r="70" spans="3:23">
      <c r="C70" s="7" t="str">
        <f t="shared" si="14"/>
        <v>Snoqualmie Pass to Barrings</v>
      </c>
      <c r="D70" s="77">
        <f t="shared" si="14"/>
        <v>34</v>
      </c>
      <c r="E70" s="77">
        <f t="shared" si="14"/>
        <v>4</v>
      </c>
      <c r="F70" s="77">
        <v>0</v>
      </c>
      <c r="G70" s="77">
        <v>0</v>
      </c>
      <c r="H70" s="77">
        <v>0</v>
      </c>
      <c r="I70" s="77">
        <v>0</v>
      </c>
      <c r="J70" s="145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145">
        <v>0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9">
        <f t="shared" si="13"/>
        <v>0</v>
      </c>
    </row>
    <row r="71" spans="3:23">
      <c r="C71" s="7" t="str">
        <f t="shared" si="14"/>
        <v>Barrings to Stehekin</v>
      </c>
      <c r="D71" s="77">
        <f t="shared" si="14"/>
        <v>35</v>
      </c>
      <c r="E71" s="77">
        <f t="shared" si="14"/>
        <v>5.6</v>
      </c>
      <c r="F71" s="77">
        <v>0</v>
      </c>
      <c r="G71" s="77">
        <v>0</v>
      </c>
      <c r="H71" s="77">
        <v>0</v>
      </c>
      <c r="I71" s="77">
        <v>0</v>
      </c>
      <c r="J71" s="145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145">
        <v>0</v>
      </c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79">
        <f t="shared" si="13"/>
        <v>0</v>
      </c>
    </row>
    <row r="72" spans="3:23">
      <c r="C72" s="7" t="str">
        <f t="shared" si="14"/>
        <v>Stehekin to Manning Park</v>
      </c>
      <c r="D72" s="77">
        <f t="shared" si="14"/>
        <v>36</v>
      </c>
      <c r="E72" s="77">
        <f t="shared" si="14"/>
        <v>4.5</v>
      </c>
      <c r="F72" s="77">
        <v>0</v>
      </c>
      <c r="G72" s="77">
        <v>0</v>
      </c>
      <c r="H72" s="77">
        <v>0</v>
      </c>
      <c r="I72" s="77">
        <v>0</v>
      </c>
      <c r="J72" s="145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145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9">
        <f t="shared" si="13"/>
        <v>0</v>
      </c>
    </row>
    <row r="73" spans="3:23">
      <c r="C73" s="7" t="str">
        <f t="shared" si="14"/>
        <v>Burney Falls SP to  Old Station</v>
      </c>
      <c r="D73" s="77">
        <f t="shared" si="14"/>
        <v>22</v>
      </c>
      <c r="E73" s="77">
        <f t="shared" si="14"/>
        <v>2.5</v>
      </c>
      <c r="F73" s="77">
        <v>0</v>
      </c>
      <c r="G73" s="77">
        <v>0</v>
      </c>
      <c r="H73" s="77">
        <v>0</v>
      </c>
      <c r="I73" s="77">
        <v>0</v>
      </c>
      <c r="J73" s="145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145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9">
        <f t="shared" si="13"/>
        <v>0</v>
      </c>
    </row>
    <row r="74" spans="3:23">
      <c r="C74" s="7" t="str">
        <f t="shared" si="14"/>
        <v>Old Station to Drakesbad Ranch</v>
      </c>
      <c r="D74" s="77">
        <f t="shared" si="14"/>
        <v>21</v>
      </c>
      <c r="E74" s="77">
        <f t="shared" si="14"/>
        <v>0.9</v>
      </c>
      <c r="F74" s="77">
        <v>100</v>
      </c>
      <c r="G74" s="77">
        <v>1</v>
      </c>
      <c r="H74" s="77">
        <v>5</v>
      </c>
      <c r="I74" s="77">
        <v>50</v>
      </c>
      <c r="J74" s="145">
        <v>1</v>
      </c>
      <c r="K74" s="77">
        <v>50</v>
      </c>
      <c r="L74" s="77">
        <v>30</v>
      </c>
      <c r="M74" s="77">
        <v>50</v>
      </c>
      <c r="N74" s="77">
        <v>20</v>
      </c>
      <c r="O74" s="77">
        <v>100</v>
      </c>
      <c r="P74" s="77">
        <v>50</v>
      </c>
      <c r="Q74" s="145">
        <v>1</v>
      </c>
      <c r="R74" s="77">
        <v>50</v>
      </c>
      <c r="S74" s="77">
        <v>50</v>
      </c>
      <c r="T74" s="77">
        <v>50</v>
      </c>
      <c r="U74" s="77">
        <v>0</v>
      </c>
      <c r="V74" s="77">
        <v>0</v>
      </c>
      <c r="W74" s="79">
        <f t="shared" si="13"/>
        <v>1</v>
      </c>
    </row>
    <row r="75" spans="3:23">
      <c r="C75" s="7" t="str">
        <f t="shared" si="14"/>
        <v>Drakesbad Ranch to Quincy</v>
      </c>
      <c r="D75" s="77">
        <f t="shared" si="14"/>
        <v>20</v>
      </c>
      <c r="E75" s="77">
        <f t="shared" si="14"/>
        <v>4.5999999999999996</v>
      </c>
      <c r="F75" s="77">
        <f>-F74</f>
        <v>-100</v>
      </c>
      <c r="G75" s="77">
        <f t="shared" ref="G75:M75" si="15">-G74</f>
        <v>-1</v>
      </c>
      <c r="H75" s="77">
        <f t="shared" si="15"/>
        <v>-5</v>
      </c>
      <c r="I75" s="77">
        <f t="shared" si="15"/>
        <v>-50</v>
      </c>
      <c r="J75" s="77">
        <f t="shared" si="15"/>
        <v>-1</v>
      </c>
      <c r="K75" s="77">
        <f t="shared" si="15"/>
        <v>-50</v>
      </c>
      <c r="L75" s="77">
        <f t="shared" si="15"/>
        <v>-30</v>
      </c>
      <c r="M75" s="77">
        <f t="shared" si="15"/>
        <v>-50</v>
      </c>
      <c r="N75" s="77">
        <v>0</v>
      </c>
      <c r="O75" s="77">
        <v>0</v>
      </c>
      <c r="P75" s="77">
        <v>0</v>
      </c>
      <c r="Q75" s="145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9">
        <f t="shared" si="13"/>
        <v>1</v>
      </c>
    </row>
    <row r="76" spans="3:23">
      <c r="C76" s="7" t="str">
        <f t="shared" si="14"/>
        <v xml:space="preserve"> Quincy to Sierra City</v>
      </c>
      <c r="D76" s="77">
        <f t="shared" si="14"/>
        <v>19</v>
      </c>
      <c r="E76" s="77">
        <f t="shared" si="14"/>
        <v>3.5</v>
      </c>
      <c r="F76" s="77">
        <v>0</v>
      </c>
      <c r="G76" s="77">
        <v>0</v>
      </c>
      <c r="H76" s="77">
        <v>0</v>
      </c>
      <c r="I76" s="77">
        <v>0</v>
      </c>
      <c r="J76" s="145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145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9">
        <f t="shared" si="13"/>
        <v>0</v>
      </c>
    </row>
    <row r="77" spans="3:23">
      <c r="C77" s="7" t="str">
        <f t="shared" si="14"/>
        <v xml:space="preserve"> Sierra City tot South Lake Tahoe</v>
      </c>
      <c r="D77" s="77">
        <f t="shared" si="14"/>
        <v>18</v>
      </c>
      <c r="E77" s="77">
        <f t="shared" si="14"/>
        <v>5.7</v>
      </c>
      <c r="F77" s="77">
        <v>0</v>
      </c>
      <c r="G77" s="77">
        <v>0</v>
      </c>
      <c r="H77" s="77">
        <v>0</v>
      </c>
      <c r="I77" s="77">
        <v>0</v>
      </c>
      <c r="J77" s="145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145">
        <v>0</v>
      </c>
      <c r="R77" s="77">
        <v>0</v>
      </c>
      <c r="S77" s="77">
        <v>0</v>
      </c>
      <c r="T77" s="77">
        <v>0</v>
      </c>
      <c r="U77" s="77">
        <v>0</v>
      </c>
      <c r="V77" s="77">
        <v>0</v>
      </c>
      <c r="W77" s="79">
        <f t="shared" si="13"/>
        <v>0</v>
      </c>
    </row>
    <row r="78" spans="3:23">
      <c r="C78" s="7" t="str">
        <f t="shared" si="14"/>
        <v xml:space="preserve"> South Lake Tahoe to Sonora Pass </v>
      </c>
      <c r="D78" s="77">
        <f t="shared" si="14"/>
        <v>17</v>
      </c>
      <c r="E78" s="77">
        <f t="shared" si="14"/>
        <v>3.8</v>
      </c>
      <c r="F78" s="77">
        <v>0</v>
      </c>
      <c r="G78" s="77">
        <v>0</v>
      </c>
      <c r="H78" s="77">
        <v>0</v>
      </c>
      <c r="I78" s="77">
        <v>0</v>
      </c>
      <c r="J78" s="145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145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9">
        <f t="shared" si="13"/>
        <v>0</v>
      </c>
    </row>
    <row r="79" spans="3:23" ht="15" customHeight="1">
      <c r="C79" s="7" t="str">
        <f t="shared" si="14"/>
        <v>Sonora Pass resupply to Tuolumne Meadows</v>
      </c>
      <c r="D79" s="77">
        <f t="shared" si="14"/>
        <v>16</v>
      </c>
      <c r="E79" s="77">
        <f t="shared" si="14"/>
        <v>4.3</v>
      </c>
      <c r="F79" s="77">
        <v>0</v>
      </c>
      <c r="G79" s="77">
        <v>0</v>
      </c>
      <c r="H79" s="77">
        <v>0</v>
      </c>
      <c r="I79" s="77">
        <v>0</v>
      </c>
      <c r="J79" s="145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145">
        <v>0</v>
      </c>
      <c r="R79" s="77">
        <v>0</v>
      </c>
      <c r="S79" s="77">
        <v>0</v>
      </c>
      <c r="T79" s="77">
        <v>0</v>
      </c>
      <c r="U79" s="77">
        <v>0</v>
      </c>
      <c r="V79" s="77">
        <v>0</v>
      </c>
      <c r="W79" s="79">
        <f t="shared" si="13"/>
        <v>0</v>
      </c>
    </row>
    <row r="80" spans="3:23">
      <c r="C80" s="7" t="str">
        <f t="shared" ref="C80:E82" si="16">C39</f>
        <v xml:space="preserve"> Tuolumne Meadows to Vermillion Valley</v>
      </c>
      <c r="D80" s="77">
        <f t="shared" si="16"/>
        <v>15</v>
      </c>
      <c r="E80" s="77">
        <f t="shared" si="16"/>
        <v>3.8</v>
      </c>
      <c r="F80" s="77">
        <v>0</v>
      </c>
      <c r="G80" s="77">
        <v>0</v>
      </c>
      <c r="H80" s="77">
        <v>0</v>
      </c>
      <c r="I80" s="77">
        <v>0</v>
      </c>
      <c r="J80" s="145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145">
        <v>0</v>
      </c>
      <c r="R80" s="77">
        <v>0</v>
      </c>
      <c r="S80" s="77">
        <v>0</v>
      </c>
      <c r="T80" s="77">
        <v>0</v>
      </c>
      <c r="U80" s="77">
        <v>0</v>
      </c>
      <c r="V80" s="77">
        <v>0</v>
      </c>
      <c r="W80" s="79">
        <f t="shared" si="13"/>
        <v>0</v>
      </c>
    </row>
    <row r="81" spans="3:23">
      <c r="C81" s="7" t="str">
        <f t="shared" si="16"/>
        <v xml:space="preserve">Vermillion Valley Resort to  Independence </v>
      </c>
      <c r="D81" s="77">
        <f t="shared" si="16"/>
        <v>14</v>
      </c>
      <c r="E81" s="77">
        <f t="shared" si="16"/>
        <v>5.8</v>
      </c>
      <c r="F81" s="77">
        <v>0</v>
      </c>
      <c r="G81" s="77">
        <v>0</v>
      </c>
      <c r="H81" s="77">
        <v>0</v>
      </c>
      <c r="I81" s="77">
        <v>0</v>
      </c>
      <c r="J81" s="145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145">
        <v>0</v>
      </c>
      <c r="R81" s="77">
        <v>0</v>
      </c>
      <c r="S81" s="77">
        <v>0</v>
      </c>
      <c r="T81" s="77">
        <v>0</v>
      </c>
      <c r="U81" s="77">
        <v>0</v>
      </c>
      <c r="V81" s="77">
        <v>0</v>
      </c>
      <c r="W81" s="79">
        <f t="shared" si="13"/>
        <v>0</v>
      </c>
    </row>
    <row r="82" spans="3:23">
      <c r="C82" s="7" t="str">
        <f t="shared" si="16"/>
        <v xml:space="preserve"> Independence  to Lone Pine</v>
      </c>
      <c r="D82" s="77">
        <f t="shared" si="16"/>
        <v>13</v>
      </c>
      <c r="E82" s="77">
        <f t="shared" si="16"/>
        <v>3.3</v>
      </c>
      <c r="F82" s="77">
        <v>0</v>
      </c>
      <c r="G82" s="77">
        <v>0</v>
      </c>
      <c r="H82" s="77">
        <v>0</v>
      </c>
      <c r="I82" s="77">
        <v>0</v>
      </c>
      <c r="J82" s="145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145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  <c r="W82" s="79">
        <f t="shared" si="13"/>
        <v>0</v>
      </c>
    </row>
  </sheetData>
  <mergeCells count="8">
    <mergeCell ref="F42:T42"/>
    <mergeCell ref="F43:G43"/>
    <mergeCell ref="H43:M43"/>
    <mergeCell ref="N43:T43"/>
    <mergeCell ref="I1:T1"/>
    <mergeCell ref="F2:G2"/>
    <mergeCell ref="H2:M2"/>
    <mergeCell ref="N2:U2"/>
  </mergeCells>
  <conditionalFormatting sqref="W1:W1048576">
    <cfRule type="cellIs" dxfId="1" priority="2" operator="greaterThan">
      <formula>0.5</formula>
    </cfRule>
  </conditionalFormatting>
  <conditionalFormatting sqref="F47:V82">
    <cfRule type="cellIs" dxfId="0" priority="1" operator="notEqual">
      <formula>0</formula>
    </cfRule>
  </conditionalFormatting>
  <pageMargins left="0.11811023622047245" right="0.19685039370078741" top="0.11811023622047245" bottom="0.11811023622047245" header="0" footer="0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4"/>
  <sheetViews>
    <sheetView topLeftCell="A22" workbookViewId="0">
      <selection activeCell="J79" sqref="J79"/>
    </sheetView>
  </sheetViews>
  <sheetFormatPr baseColWidth="10" defaultRowHeight="15"/>
  <cols>
    <col min="1" max="1" width="15.85546875" customWidth="1"/>
    <col min="2" max="2" width="5.28515625" customWidth="1"/>
    <col min="3" max="3" width="5.140625" customWidth="1"/>
    <col min="4" max="4" width="4.85546875" customWidth="1"/>
    <col min="5" max="5" width="5.5703125" customWidth="1"/>
    <col min="6" max="6" width="4" customWidth="1"/>
    <col min="7" max="7" width="5.140625" customWidth="1"/>
    <col min="8" max="8" width="4.140625" customWidth="1"/>
    <col min="9" max="9" width="5.28515625" customWidth="1"/>
    <col min="10" max="10" width="8" customWidth="1"/>
    <col min="11" max="11" width="5.28515625" customWidth="1"/>
    <col min="12" max="12" width="6.42578125" customWidth="1"/>
  </cols>
  <sheetData>
    <row r="2" spans="1:12">
      <c r="A2" s="130"/>
      <c r="B2" s="130"/>
      <c r="C2" s="130"/>
      <c r="D2" s="130"/>
      <c r="E2" s="130"/>
      <c r="F2" s="130"/>
      <c r="G2" s="130"/>
      <c r="H2" s="130"/>
      <c r="I2" s="220" t="s">
        <v>237</v>
      </c>
      <c r="J2" s="220"/>
      <c r="K2" s="220"/>
      <c r="L2" s="220"/>
    </row>
    <row r="3" spans="1:12" ht="48.75">
      <c r="A3" s="130"/>
      <c r="B3" s="130"/>
      <c r="C3" s="130"/>
      <c r="D3" s="130"/>
      <c r="E3" s="130"/>
      <c r="F3" s="130"/>
      <c r="G3" s="130"/>
      <c r="H3" s="130"/>
      <c r="I3" s="172" t="s">
        <v>187</v>
      </c>
      <c r="J3" s="13" t="s">
        <v>188</v>
      </c>
      <c r="K3" s="172" t="s">
        <v>189</v>
      </c>
      <c r="L3" s="13" t="s">
        <v>190</v>
      </c>
    </row>
    <row r="4" spans="1:12">
      <c r="A4" s="159" t="s">
        <v>172</v>
      </c>
      <c r="B4" s="159"/>
      <c r="C4" s="159"/>
      <c r="D4" s="159"/>
      <c r="E4" s="159"/>
      <c r="F4" s="159"/>
      <c r="G4" s="159"/>
      <c r="H4" s="159"/>
      <c r="I4" s="221" t="s">
        <v>239</v>
      </c>
      <c r="J4" s="222" t="s">
        <v>236</v>
      </c>
      <c r="K4" s="221">
        <v>26.28</v>
      </c>
      <c r="L4" s="222" t="s">
        <v>238</v>
      </c>
    </row>
    <row r="5" spans="1:12" ht="18.75" customHeight="1">
      <c r="A5" s="160" t="s">
        <v>173</v>
      </c>
      <c r="B5" s="161">
        <f>C21+E21+G21</f>
        <v>4157.9035294117648</v>
      </c>
      <c r="C5" s="160">
        <f>D21+F21+H21</f>
        <v>887</v>
      </c>
      <c r="D5" s="159" t="s">
        <v>174</v>
      </c>
      <c r="E5" s="162">
        <f>B5+E26</f>
        <v>4922.9035294117648</v>
      </c>
      <c r="F5" s="159">
        <f>C5+F26</f>
        <v>987</v>
      </c>
      <c r="G5" s="159"/>
      <c r="H5" s="159"/>
      <c r="I5" s="221"/>
      <c r="J5" s="222"/>
      <c r="K5" s="221"/>
      <c r="L5" s="222"/>
    </row>
    <row r="6" spans="1:12">
      <c r="A6" s="159"/>
      <c r="B6" s="163"/>
      <c r="C6" s="217" t="s">
        <v>125</v>
      </c>
      <c r="D6" s="218"/>
      <c r="E6" s="218" t="s">
        <v>130</v>
      </c>
      <c r="F6" s="218"/>
      <c r="G6" s="218" t="s">
        <v>115</v>
      </c>
      <c r="H6" s="219"/>
      <c r="I6" s="221"/>
      <c r="J6" s="222"/>
      <c r="K6" s="221"/>
      <c r="L6" s="222"/>
    </row>
    <row r="7" spans="1:12">
      <c r="A7" s="164"/>
      <c r="B7" s="165" t="s">
        <v>175</v>
      </c>
      <c r="C7" s="166" t="s">
        <v>176</v>
      </c>
      <c r="D7" s="165" t="s">
        <v>177</v>
      </c>
      <c r="E7" s="166" t="s">
        <v>176</v>
      </c>
      <c r="F7" s="165" t="s">
        <v>177</v>
      </c>
      <c r="G7" s="166" t="s">
        <v>176</v>
      </c>
      <c r="H7" s="167" t="s">
        <v>177</v>
      </c>
      <c r="I7" s="140"/>
      <c r="J7" s="168"/>
      <c r="K7" s="140"/>
      <c r="L7" s="168"/>
    </row>
    <row r="8" spans="1:12">
      <c r="A8" s="160" t="s">
        <v>186</v>
      </c>
      <c r="B8" s="160">
        <f>(100/6.8)*25</f>
        <v>367.64705882352945</v>
      </c>
      <c r="C8" s="161">
        <f>$B8/100*D8</f>
        <v>0</v>
      </c>
      <c r="D8" s="160"/>
      <c r="E8" s="161">
        <f t="shared" ref="E8:E20" si="0">$B8/100*F8</f>
        <v>91.911764705882362</v>
      </c>
      <c r="F8" s="160">
        <v>25</v>
      </c>
      <c r="G8" s="161">
        <f t="shared" ref="G8:G20" si="1">$B8/100*H8</f>
        <v>91.911764705882362</v>
      </c>
      <c r="H8" s="170">
        <v>25</v>
      </c>
      <c r="I8" s="140">
        <f>'alim continu'!O7+'alim continu'!O8+'alim continu'!O16</f>
        <v>350</v>
      </c>
      <c r="J8" s="168">
        <f>'alim continu'!O17+'alim continu'!O18+'alim continu'!O19+'alim continu'!O20+'alim continu'!O21+'alim continu'!O22+'alim continu'!O24+'alim continu'!O27+'alim continu'!O28+'alim continu'!O29</f>
        <v>2150</v>
      </c>
      <c r="K8" s="140">
        <f>'alim continu'!O31+'alim continu'!O33</f>
        <v>300</v>
      </c>
      <c r="L8" s="168">
        <f>'alim continu'!O34+'alim continu'!O35+'alim continu'!O36+'alim continu'!O37+'alim continu'!O38+'alim continu'!O39+'alim continu'!O40+'alim continu'!O41</f>
        <v>1850</v>
      </c>
    </row>
    <row r="9" spans="1:12">
      <c r="A9" s="160" t="s">
        <v>185</v>
      </c>
      <c r="B9" s="160">
        <v>500</v>
      </c>
      <c r="C9" s="161">
        <f t="shared" ref="C9:C20" si="2">B9/100*D9</f>
        <v>0</v>
      </c>
      <c r="D9" s="160"/>
      <c r="E9" s="161">
        <f t="shared" si="0"/>
        <v>250</v>
      </c>
      <c r="F9" s="160">
        <v>50</v>
      </c>
      <c r="G9" s="161">
        <f t="shared" si="1"/>
        <v>250</v>
      </c>
      <c r="H9" s="170">
        <v>50</v>
      </c>
      <c r="I9" s="140">
        <f>'alim continu'!I7+'alim continu'!I8+'alim continu'!T7+'alim continu'!T8+'alim continu'!T16+'alim continu'!I16</f>
        <v>900</v>
      </c>
      <c r="J9" s="168">
        <f>'alim continu'!I17+'alim continu'!I18+'alim continu'!I19+'alim continu'!I20+'alim continu'!I21+'alim continu'!I22+'alim continu'!I24+'alim continu'!I27+'alim continu'!I28+'alim continu'!I29+'alim continu'!T17+'alim continu'!T18+'alim continu'!T19+'alim continu'!T20+'alim continu'!T21+'alim continu'!T22+'alim continu'!T24+'alim continu'!T27+'alim continu'!T28+'alim continu'!T29</f>
        <v>4800</v>
      </c>
      <c r="K9" s="140">
        <f>'alim continu'!I31+'alim continu'!I33+'alim continu'!T31+'alim continu'!T33</f>
        <v>700</v>
      </c>
      <c r="L9" s="168">
        <f>'alim continu'!I34+'alim continu'!I35+'alim continu'!I36+'alim continu'!I37+'alim continu'!I38+'alim continu'!I39+'alim continu'!I40+'alim continu'!I41+'alim continu'!T34+'alim continu'!T35+'alim continu'!T36+'alim continu'!T37+'alim continu'!T38+'alim continu'!T39+'alim continu'!T40+'alim continu'!T41</f>
        <v>3950</v>
      </c>
    </row>
    <row r="10" spans="1:12">
      <c r="A10" s="160" t="s">
        <v>327</v>
      </c>
      <c r="B10" s="160">
        <v>450</v>
      </c>
      <c r="C10" s="161">
        <f t="shared" si="2"/>
        <v>0</v>
      </c>
      <c r="D10" s="160"/>
      <c r="E10" s="161">
        <f t="shared" si="0"/>
        <v>450</v>
      </c>
      <c r="F10" s="160">
        <v>100</v>
      </c>
      <c r="G10" s="161">
        <f t="shared" si="1"/>
        <v>0</v>
      </c>
      <c r="H10" s="170"/>
      <c r="I10" s="140">
        <f>('alim continu'!H7+'alim continu'!H8+'alim continu'!H16)/5</f>
        <v>10</v>
      </c>
      <c r="J10" s="168">
        <f>('alim continu'!H17+'alim continu'!H18+'alim continu'!H19+'alim continu'!H20+'alim continu'!H21+'alim continu'!H22+'alim continu'!H24+'alim continu'!H27+'alim continu'!H28+'alim continu'!H29)/5</f>
        <v>53</v>
      </c>
      <c r="K10" s="140">
        <f>('alim continu'!H31+'alim continu'!H33)/5</f>
        <v>8</v>
      </c>
      <c r="L10" s="168">
        <f>('alim continu'!H34+'alim continu'!H35+'alim continu'!H36+'alim continu'!H37+'alim continu'!H38+'alim continu'!H39+'alim continu'!H40+'alim continu'!H41)/5</f>
        <v>42</v>
      </c>
    </row>
    <row r="11" spans="1:12">
      <c r="A11" s="160" t="s">
        <v>124</v>
      </c>
      <c r="B11" s="160">
        <v>478</v>
      </c>
      <c r="C11" s="161">
        <f t="shared" si="2"/>
        <v>0</v>
      </c>
      <c r="D11" s="160"/>
      <c r="E11" s="161">
        <f t="shared" si="0"/>
        <v>0</v>
      </c>
      <c r="F11" s="160">
        <v>0</v>
      </c>
      <c r="G11" s="161">
        <f t="shared" si="1"/>
        <v>650.08000000000004</v>
      </c>
      <c r="H11" s="170">
        <v>136</v>
      </c>
      <c r="I11" s="140">
        <f>'alim continu'!Q7+'alim continu'!Q8+'alim continu'!Q16</f>
        <v>8</v>
      </c>
      <c r="J11" s="168">
        <f>'alim continu'!Q17+'alim continu'!Q18+'alim continu'!Q19+'alim continu'!Q20+'alim continu'!Q21+'alim continu'!Q22+'alim continu'!Q24+'alim continu'!Q27+'alim continu'!Q28+'alim continu'!Q29</f>
        <v>48</v>
      </c>
      <c r="K11" s="140">
        <f>'alim continu'!Q31+'alim continu'!Q33</f>
        <v>6</v>
      </c>
      <c r="L11" s="168">
        <f>'alim continu'!Q34+'alim continu'!Q35+'alim continu'!Q36+'alim continu'!Q37+'alim continu'!Q38+'alim continu'!Q39+'alim continu'!Q40+'alim continu'!Q41</f>
        <v>39</v>
      </c>
    </row>
    <row r="12" spans="1:12">
      <c r="A12" s="160" t="s">
        <v>178</v>
      </c>
      <c r="B12" s="160">
        <v>400</v>
      </c>
      <c r="C12" s="161">
        <f t="shared" si="2"/>
        <v>0</v>
      </c>
      <c r="D12" s="160"/>
      <c r="E12" s="161">
        <f t="shared" si="0"/>
        <v>200</v>
      </c>
      <c r="F12" s="160">
        <v>50</v>
      </c>
      <c r="G12" s="161">
        <f t="shared" si="1"/>
        <v>200</v>
      </c>
      <c r="H12" s="170">
        <v>50</v>
      </c>
      <c r="I12" s="140">
        <f>'alim continu'!M7+'alim continu'!M8+'alim continu'!M16+'alim continu'!R7+'alim continu'!R8+'alim continu'!R16</f>
        <v>900</v>
      </c>
      <c r="J12" s="168">
        <f>'alim continu'!M17+'alim continu'!M18+'alim continu'!M19+'alim continu'!M20+'alim continu'!M21+'alim continu'!M22+'alim continu'!M24+'alim continu'!M27+'alim continu'!M28+'alim continu'!M29+'alim continu'!R17+'alim continu'!R18+'alim continu'!R19+'alim continu'!R20+'alim continu'!R21+'alim continu'!R22+'alim continu'!R24+'alim continu'!R27+'alim continu'!R28+'alim continu'!R29</f>
        <v>4800</v>
      </c>
      <c r="K12" s="140">
        <f>'alim continu'!M31+'alim continu'!M33+'alim continu'!R31+'alim continu'!R33</f>
        <v>700</v>
      </c>
      <c r="L12" s="168">
        <f>'alim continu'!M34+'alim continu'!M35+'alim continu'!M36+'alim continu'!M37+'alim continu'!M38+'alim continu'!M39+'alim continu'!M40+'alim continu'!M41+'alim continu'!R34+'alim continu'!R35+'alim continu'!R36+'alim continu'!R37+'alim continu'!R38+'alim continu'!R39+'alim continu'!R40+'alim continu'!R41</f>
        <v>4050</v>
      </c>
    </row>
    <row r="13" spans="1:12">
      <c r="A13" s="160" t="s">
        <v>179</v>
      </c>
      <c r="B13" s="160">
        <v>900</v>
      </c>
      <c r="C13" s="161">
        <f t="shared" si="2"/>
        <v>0</v>
      </c>
      <c r="D13" s="160"/>
      <c r="E13" s="161">
        <f t="shared" si="0"/>
        <v>0</v>
      </c>
      <c r="F13" s="160"/>
      <c r="G13" s="161">
        <f t="shared" si="1"/>
        <v>180</v>
      </c>
      <c r="H13" s="170">
        <v>20</v>
      </c>
      <c r="I13" s="140">
        <f>'alim continu'!N7+'alim continu'!N8+'alim continu'!N16</f>
        <v>140</v>
      </c>
      <c r="J13" s="168">
        <f>'alim continu'!N17+'alim continu'!N18+'alim continu'!N19+'alim continu'!N20+'alim continu'!N21+'alim continu'!N22+'alim continu'!N24+'alim continu'!N27+'alim continu'!N28+'alim continu'!N29</f>
        <v>860</v>
      </c>
      <c r="K13" s="140">
        <f>'alim continu'!N31+'alim continu'!N33</f>
        <v>120</v>
      </c>
      <c r="L13" s="168">
        <f>'alim continu'!N34+'alim continu'!N35+'alim continu'!N36+'alim continu'!N37+'alim continu'!N38+'alim continu'!N39+'alim continu'!N40+'alim continu'!N41</f>
        <v>740</v>
      </c>
    </row>
    <row r="14" spans="1:12">
      <c r="A14" s="160" t="s">
        <v>180</v>
      </c>
      <c r="B14" s="160">
        <v>300</v>
      </c>
      <c r="C14" s="161">
        <f t="shared" si="2"/>
        <v>0</v>
      </c>
      <c r="D14" s="160"/>
      <c r="E14" s="161">
        <f t="shared" si="0"/>
        <v>0</v>
      </c>
      <c r="F14" s="160"/>
      <c r="G14" s="161">
        <f t="shared" si="1"/>
        <v>0</v>
      </c>
      <c r="H14" s="170"/>
      <c r="I14" s="140">
        <v>0</v>
      </c>
      <c r="J14" s="168">
        <v>0</v>
      </c>
      <c r="K14" s="140">
        <f>0</f>
        <v>0</v>
      </c>
      <c r="L14" s="168">
        <f>0</f>
        <v>0</v>
      </c>
    </row>
    <row r="15" spans="1:12">
      <c r="A15" s="160" t="s">
        <v>181</v>
      </c>
      <c r="B15" s="160">
        <v>630</v>
      </c>
      <c r="C15" s="161">
        <f t="shared" si="2"/>
        <v>0</v>
      </c>
      <c r="D15" s="160"/>
      <c r="E15" s="161">
        <f t="shared" si="0"/>
        <v>315</v>
      </c>
      <c r="F15" s="160">
        <v>50</v>
      </c>
      <c r="G15" s="161">
        <f t="shared" si="1"/>
        <v>315</v>
      </c>
      <c r="H15" s="170">
        <v>50</v>
      </c>
      <c r="I15" s="140">
        <f>'alim continu'!K7+'alim continu'!K8+'alim continu'!K16+'alim continu'!S7+'alim continu'!S8+'alim continu'!S16</f>
        <v>900</v>
      </c>
      <c r="J15" s="168">
        <f>'alim continu'!K17+'alim continu'!K18+'alim continu'!K19+'alim continu'!K20+'alim continu'!K21+'alim continu'!K22+'alim continu'!K24+'alim continu'!K27+'alim continu'!K28+'alim continu'!K29+'alim continu'!S17+'alim continu'!S18+'alim continu'!S19+'alim continu'!S20+'alim continu'!S21+'alim continu'!S22+'alim continu'!S24+'alim continu'!S27+'alim continu'!S28+'alim continu'!S29</f>
        <v>5000</v>
      </c>
      <c r="K15" s="140">
        <f>'alim continu'!K31+'alim continu'!K33+'alim continu'!S31+'alim continu'!S33</f>
        <v>700</v>
      </c>
      <c r="L15" s="168">
        <f>'alim continu'!K34+'alim continu'!K35+'alim continu'!K36+'alim continu'!K37+'alim continu'!K38+'alim continu'!K39+'alim continu'!K40+'alim continu'!K41+'alim continu'!S34+'alim continu'!S35+'alim continu'!S36+'alim continu'!S37+'alim continu'!S38+'alim continu'!S39+'alim continu'!S40+'alim continu'!S41</f>
        <v>4050</v>
      </c>
    </row>
    <row r="16" spans="1:12">
      <c r="A16" s="160" t="s">
        <v>117</v>
      </c>
      <c r="B16" s="160">
        <v>0</v>
      </c>
      <c r="C16" s="161">
        <f t="shared" si="2"/>
        <v>0</v>
      </c>
      <c r="D16" s="160">
        <v>1</v>
      </c>
      <c r="E16" s="161">
        <f t="shared" si="0"/>
        <v>0</v>
      </c>
      <c r="F16" s="160"/>
      <c r="G16" s="161">
        <f t="shared" si="1"/>
        <v>0</v>
      </c>
      <c r="H16" s="170"/>
      <c r="I16" s="140">
        <f>'alim continu'!G7+'alim continu'!G8+'alim continu'!G16</f>
        <v>10</v>
      </c>
      <c r="J16" s="168">
        <f>'alim continu'!G17+'alim continu'!G18+'alim continu'!G19+'alim continu'!G20+'alim continu'!G21+'alim continu'!G22+'alim continu'!G24+'alim continu'!G27+'alim continu'!G28+'alim continu'!G29</f>
        <v>53</v>
      </c>
      <c r="K16" s="140">
        <f>'alim continu'!G31+'alim continu'!G33</f>
        <v>8</v>
      </c>
      <c r="L16" s="168">
        <f>'alim continu'!G34+'alim continu'!G35+'alim continu'!G36+'alim continu'!G37+'alim continu'!G38+'alim continu'!G39+'alim continu'!G40+'alim continu'!G41</f>
        <v>42</v>
      </c>
    </row>
    <row r="17" spans="1:12">
      <c r="A17" s="160" t="s">
        <v>116</v>
      </c>
      <c r="B17" s="160">
        <v>540</v>
      </c>
      <c r="C17" s="161">
        <f t="shared" si="2"/>
        <v>540</v>
      </c>
      <c r="D17" s="160">
        <v>100</v>
      </c>
      <c r="E17" s="161">
        <f t="shared" si="0"/>
        <v>0</v>
      </c>
      <c r="F17" s="160"/>
      <c r="G17" s="161">
        <f t="shared" si="1"/>
        <v>0</v>
      </c>
      <c r="H17" s="170"/>
      <c r="I17" s="140">
        <f>'alim continu'!F7+'alim continu'!F8+'alim continu'!F16</f>
        <v>1000</v>
      </c>
      <c r="J17" s="168">
        <f>'alim continu'!F17+'alim continu'!F18+'alim continu'!F19+'alim continu'!F20+'alim continu'!F21+'alim continu'!F22+'alim continu'!F24+'alim continu'!F27+'alim continu'!F28+'alim continu'!F29</f>
        <v>5300</v>
      </c>
      <c r="K17" s="140">
        <f>'alim continu'!F31+'alim continu'!F33</f>
        <v>800</v>
      </c>
      <c r="L17" s="168">
        <f>'alim continu'!F34+'alim continu'!F35+'alim continu'!F36+'alim continu'!F37+'alim continu'!F38+'alim continu'!F39+'alim continu'!F40+'alim continu'!F41</f>
        <v>4200</v>
      </c>
    </row>
    <row r="18" spans="1:12">
      <c r="A18" s="160" t="s">
        <v>122</v>
      </c>
      <c r="B18" s="160">
        <v>350</v>
      </c>
      <c r="C18" s="161">
        <f t="shared" si="2"/>
        <v>0</v>
      </c>
      <c r="D18" s="160"/>
      <c r="E18" s="161">
        <f t="shared" si="0"/>
        <v>350</v>
      </c>
      <c r="F18" s="160">
        <v>100</v>
      </c>
      <c r="G18" s="161">
        <f t="shared" si="1"/>
        <v>0</v>
      </c>
      <c r="H18" s="170"/>
      <c r="I18" s="140">
        <f>'alim continu'!J7+'alim continu'!J8+'alim continu'!J16</f>
        <v>10</v>
      </c>
      <c r="J18" s="168">
        <f>'alim continu'!J17+'alim continu'!J18+'alim continu'!J19+'alim continu'!J20+'alim continu'!J21+'alim continu'!J22+'alim continu'!J24+'alim continu'!J27+'alim continu'!J28+'alim continu'!J29</f>
        <v>53</v>
      </c>
      <c r="K18" s="140">
        <f>'alim continu'!J31+'alim continu'!J33</f>
        <v>8</v>
      </c>
      <c r="L18" s="168">
        <f>'alim continu'!J34+'alim continu'!J35+'alim continu'!J36+'alim continu'!J37+'alim continu'!J38+'alim continu'!J39+'alim continu'!J40+'alim continu'!J41</f>
        <v>42</v>
      </c>
    </row>
    <row r="19" spans="1:12">
      <c r="A19" s="160" t="s">
        <v>182</v>
      </c>
      <c r="B19" s="160">
        <v>350</v>
      </c>
      <c r="C19" s="161">
        <f t="shared" si="2"/>
        <v>0</v>
      </c>
      <c r="D19" s="160"/>
      <c r="E19" s="161">
        <f t="shared" si="0"/>
        <v>0</v>
      </c>
      <c r="F19" s="160"/>
      <c r="G19" s="161">
        <f t="shared" si="1"/>
        <v>175</v>
      </c>
      <c r="H19" s="170">
        <v>50</v>
      </c>
      <c r="I19" s="140">
        <f>'alim continu'!P7+'alim continu'!P8+'alim continu'!P16</f>
        <v>350</v>
      </c>
      <c r="J19" s="168">
        <f>'alim continu'!P17+'alim continu'!P18+'alim continu'!P19+'alim continu'!P20+'alim continu'!P21+'alim continu'!P22+'alim continu'!P24+'alim continu'!P27+'alim continu'!P28+'alim continu'!P29</f>
        <v>2150</v>
      </c>
      <c r="K19" s="140">
        <f>'alim continu'!P31+'alim continu'!P33</f>
        <v>300</v>
      </c>
      <c r="L19" s="168">
        <f>'alim continu'!P34+'alim continu'!P35+'alim continu'!P36+'alim continu'!P37+'alim continu'!P38+'alim continu'!P39+'alim continu'!P40+'alim continu'!P41</f>
        <v>1850</v>
      </c>
    </row>
    <row r="20" spans="1:12">
      <c r="A20" s="160" t="s">
        <v>183</v>
      </c>
      <c r="B20" s="160">
        <v>330</v>
      </c>
      <c r="C20" s="161">
        <f t="shared" si="2"/>
        <v>0</v>
      </c>
      <c r="D20" s="160"/>
      <c r="E20" s="161">
        <f t="shared" si="0"/>
        <v>99</v>
      </c>
      <c r="F20" s="160">
        <v>30</v>
      </c>
      <c r="G20" s="161">
        <f t="shared" si="1"/>
        <v>0</v>
      </c>
      <c r="H20" s="170"/>
      <c r="I20" s="140">
        <f>'alim continu'!L7+'alim continu'!L8+'alim continu'!L16</f>
        <v>300</v>
      </c>
      <c r="J20" s="168">
        <f>'alim continu'!L17+'alim continu'!L18+'alim continu'!L19+'alim continu'!L20+'alim continu'!L21+'alim continu'!L22+'alim continu'!L24+'alim continu'!L27+'alim continu'!L28+'alim continu'!L29</f>
        <v>1590</v>
      </c>
      <c r="K20" s="140">
        <f>'alim continu'!L31+'alim continu'!L33</f>
        <v>240</v>
      </c>
      <c r="L20" s="168">
        <f>'alim continu'!L34+'alim continu'!L35+'alim continu'!L36+'alim continu'!L37+'alim continu'!L38+'alim continu'!L39+'alim continu'!L40+'alim continu'!L41</f>
        <v>1260</v>
      </c>
    </row>
    <row r="21" spans="1:12">
      <c r="A21" s="159"/>
      <c r="B21" s="159"/>
      <c r="C21" s="161">
        <f t="shared" ref="C21:H21" si="3">SUM(C8:C20)</f>
        <v>540</v>
      </c>
      <c r="D21" s="161">
        <f t="shared" si="3"/>
        <v>101</v>
      </c>
      <c r="E21" s="161">
        <f t="shared" si="3"/>
        <v>1755.9117647058824</v>
      </c>
      <c r="F21" s="161">
        <f t="shared" si="3"/>
        <v>405</v>
      </c>
      <c r="G21" s="161">
        <f t="shared" si="3"/>
        <v>1861.9917647058824</v>
      </c>
      <c r="H21" s="171">
        <f t="shared" si="3"/>
        <v>381</v>
      </c>
      <c r="I21" s="140"/>
      <c r="J21" s="168"/>
      <c r="K21" s="140"/>
      <c r="L21" s="168"/>
    </row>
    <row r="22" spans="1:12">
      <c r="A22" s="159" t="s">
        <v>184</v>
      </c>
      <c r="B22" s="159"/>
      <c r="C22" s="159"/>
      <c r="D22" s="159"/>
      <c r="E22" s="159"/>
      <c r="F22" s="159"/>
      <c r="G22" s="159"/>
      <c r="H22" s="159"/>
      <c r="I22" s="130"/>
      <c r="J22" s="130"/>
      <c r="K22" s="130"/>
      <c r="L22" s="130"/>
    </row>
    <row r="23" spans="1:12">
      <c r="A23" s="160" t="s">
        <v>181</v>
      </c>
      <c r="B23" s="160">
        <v>630</v>
      </c>
      <c r="C23" s="161">
        <f>B23*(D23/100)</f>
        <v>0</v>
      </c>
      <c r="D23" s="160"/>
      <c r="E23" s="161">
        <f>$B15*(F23/100)</f>
        <v>315</v>
      </c>
      <c r="F23" s="160">
        <v>50</v>
      </c>
      <c r="G23" s="161">
        <f>'alim continu'!$B26*(H23/100)</f>
        <v>0</v>
      </c>
      <c r="H23" s="160"/>
      <c r="I23" s="130"/>
      <c r="J23" s="130"/>
      <c r="K23" s="130"/>
      <c r="L23" s="130"/>
    </row>
    <row r="24" spans="1:12">
      <c r="A24" s="160" t="s">
        <v>179</v>
      </c>
      <c r="B24" s="160">
        <v>900</v>
      </c>
      <c r="C24" s="161"/>
      <c r="D24" s="160"/>
      <c r="E24" s="161">
        <f>$B13*(F24/100)</f>
        <v>450</v>
      </c>
      <c r="F24" s="160">
        <v>50</v>
      </c>
      <c r="G24" s="161"/>
      <c r="H24" s="160"/>
      <c r="I24" s="130"/>
      <c r="J24" s="130"/>
      <c r="K24" s="130"/>
      <c r="L24" s="130"/>
    </row>
    <row r="25" spans="1:12">
      <c r="A25" s="160" t="s">
        <v>122</v>
      </c>
      <c r="B25" s="160">
        <v>350</v>
      </c>
      <c r="C25" s="161">
        <f>B25*(D25/100)</f>
        <v>0</v>
      </c>
      <c r="D25" s="160"/>
      <c r="E25" s="161">
        <f>'alim continu'!$B28*(F25/100)</f>
        <v>0</v>
      </c>
      <c r="F25" s="160"/>
      <c r="G25" s="161">
        <f>'alim continu'!$B28*(H25/100)</f>
        <v>0</v>
      </c>
      <c r="H25" s="160"/>
      <c r="I25" s="130"/>
      <c r="J25" s="130"/>
      <c r="K25" s="130"/>
      <c r="L25" s="130"/>
    </row>
    <row r="26" spans="1:12">
      <c r="A26" s="159"/>
      <c r="B26" s="159"/>
      <c r="C26" s="159"/>
      <c r="D26" s="159"/>
      <c r="E26" s="159">
        <f>SUM(E23:E25)</f>
        <v>765</v>
      </c>
      <c r="F26" s="159">
        <f>SUM(F23:F25)</f>
        <v>100</v>
      </c>
      <c r="G26" s="159"/>
      <c r="H26" s="159"/>
      <c r="I26" s="130"/>
      <c r="J26" s="130"/>
      <c r="K26" s="130"/>
      <c r="L26" s="130"/>
    </row>
    <row r="27" spans="1:12">
      <c r="A27" s="130"/>
      <c r="B27" s="130"/>
      <c r="C27" s="130"/>
      <c r="D27" s="130"/>
      <c r="E27" s="130"/>
      <c r="F27" s="130"/>
      <c r="G27" s="130"/>
      <c r="H27" s="130"/>
      <c r="I27" s="220" t="s">
        <v>260</v>
      </c>
      <c r="J27" s="220"/>
      <c r="K27" s="220"/>
      <c r="L27" s="220"/>
    </row>
    <row r="28" spans="1:12" ht="36.75">
      <c r="A28" s="130"/>
      <c r="B28" s="130"/>
      <c r="C28" s="130"/>
      <c r="D28" s="130"/>
      <c r="E28" s="130"/>
      <c r="F28" s="130"/>
      <c r="G28" s="130"/>
      <c r="H28" s="130"/>
      <c r="I28" s="172" t="s">
        <v>187</v>
      </c>
      <c r="J28" s="13" t="s">
        <v>188</v>
      </c>
      <c r="K28" s="172" t="s">
        <v>190</v>
      </c>
      <c r="L28" s="13" t="s">
        <v>261</v>
      </c>
    </row>
    <row r="29" spans="1:12">
      <c r="A29" s="159" t="s">
        <v>172</v>
      </c>
      <c r="B29" s="159"/>
      <c r="C29" s="159"/>
      <c r="D29" s="159"/>
      <c r="E29" s="159"/>
      <c r="F29" s="159"/>
      <c r="G29" s="159"/>
      <c r="H29" s="159"/>
      <c r="I29" s="223" t="s">
        <v>239</v>
      </c>
      <c r="J29" s="222" t="s">
        <v>277</v>
      </c>
      <c r="K29" s="223" t="s">
        <v>275</v>
      </c>
      <c r="L29" s="226" t="s">
        <v>276</v>
      </c>
    </row>
    <row r="30" spans="1:12">
      <c r="A30" s="160" t="s">
        <v>173</v>
      </c>
      <c r="B30" s="161">
        <f>C46+E46+G46</f>
        <v>4157.9035294117648</v>
      </c>
      <c r="C30" s="160">
        <f>D46+F46+H46</f>
        <v>887</v>
      </c>
      <c r="D30" s="159" t="s">
        <v>174</v>
      </c>
      <c r="E30" s="162">
        <f>B30+E52</f>
        <v>4922.9035294117648</v>
      </c>
      <c r="F30" s="159">
        <f>C30+F52</f>
        <v>987</v>
      </c>
      <c r="G30" s="159"/>
      <c r="H30" s="159"/>
      <c r="I30" s="224"/>
      <c r="J30" s="222"/>
      <c r="K30" s="224"/>
      <c r="L30" s="226"/>
    </row>
    <row r="31" spans="1:12">
      <c r="A31" s="159"/>
      <c r="B31" s="163"/>
      <c r="C31" s="217" t="s">
        <v>125</v>
      </c>
      <c r="D31" s="218"/>
      <c r="E31" s="218" t="s">
        <v>130</v>
      </c>
      <c r="F31" s="218"/>
      <c r="G31" s="218" t="s">
        <v>115</v>
      </c>
      <c r="H31" s="219"/>
      <c r="I31" s="225"/>
      <c r="J31" s="222"/>
      <c r="K31" s="225"/>
      <c r="L31" s="226"/>
    </row>
    <row r="32" spans="1:12">
      <c r="A32" s="164"/>
      <c r="B32" s="165" t="s">
        <v>279</v>
      </c>
      <c r="C32" s="166" t="s">
        <v>176</v>
      </c>
      <c r="D32" s="165" t="s">
        <v>177</v>
      </c>
      <c r="E32" s="166" t="s">
        <v>176</v>
      </c>
      <c r="F32" s="165" t="s">
        <v>177</v>
      </c>
      <c r="G32" s="166" t="s">
        <v>176</v>
      </c>
      <c r="H32" s="167" t="s">
        <v>177</v>
      </c>
      <c r="I32" s="140"/>
      <c r="J32" s="168"/>
      <c r="K32" s="169"/>
      <c r="L32" s="168"/>
    </row>
    <row r="33" spans="1:12">
      <c r="A33" s="160" t="s">
        <v>186</v>
      </c>
      <c r="B33" s="160">
        <f>(100/6.8)*25</f>
        <v>367.64705882352945</v>
      </c>
      <c r="C33" s="161">
        <f>$B33/100*D33</f>
        <v>0</v>
      </c>
      <c r="D33" s="160"/>
      <c r="E33" s="161">
        <f t="shared" ref="E33:E45" si="4">$B33/100*F33</f>
        <v>91.911764705882362</v>
      </c>
      <c r="F33" s="160">
        <v>25</v>
      </c>
      <c r="G33" s="161">
        <f t="shared" ref="G33:G45" si="5">$B33/100*H33</f>
        <v>91.911764705882362</v>
      </c>
      <c r="H33" s="170">
        <v>25</v>
      </c>
      <c r="I33" s="140">
        <f>'alim décalée'!O7+'alim décalée'!O8+'alim décalée'!O16</f>
        <v>350</v>
      </c>
      <c r="J33" s="168">
        <f>'alim décalée'!O17+'alim décalée'!O19+'alim décalée'!O21+'alim décalée'!O35+'alim décalée'!O37+'alim décalée'!O39+'alim décalée'!O41</f>
        <v>1050</v>
      </c>
      <c r="K33" s="140">
        <f>'alim décalée'!M27+'alim décalée'!M29+'alim décalée'!M30+'alim décalée'!M31</f>
        <v>1150</v>
      </c>
      <c r="L33" s="168">
        <f>'alim décalée'!O33+'alim décalée'!O34+'alim décalée'!O36+'alim décalée'!O39+'alim décalée'!O40+'alim décalée'!O41</f>
        <v>1100</v>
      </c>
    </row>
    <row r="34" spans="1:12">
      <c r="A34" s="160" t="s">
        <v>185</v>
      </c>
      <c r="B34" s="160">
        <v>500</v>
      </c>
      <c r="C34" s="161">
        <f t="shared" ref="C34:C45" si="6">B34/100*D34</f>
        <v>0</v>
      </c>
      <c r="D34" s="160"/>
      <c r="E34" s="161">
        <f t="shared" si="4"/>
        <v>250</v>
      </c>
      <c r="F34" s="160">
        <v>50</v>
      </c>
      <c r="G34" s="161">
        <f t="shared" si="5"/>
        <v>250</v>
      </c>
      <c r="H34" s="170">
        <v>50</v>
      </c>
      <c r="I34" s="140">
        <f>'alim décalée'!I7+'alim décalée'!I8+'alim décalée'!T7+'alim décalée'!T8+'alim décalée'!T16+'alim décalée'!I16</f>
        <v>900</v>
      </c>
      <c r="J34" s="168">
        <f>'alim décalée'!I17+'alim décalée'!I19+'alim décalée'!I21+'alim décalée'!I35+'alim décalée'!I37+'alim décalée'!I39+'alim décalée'!I40+'alim décalée'!I41+'alim décalée'!T17+'alim décalée'!T19+'alim décalée'!T21+'alim décalée'!T23+'alim décalée'!T35+'alim décalée'!T37+'alim décalée'!T39+'alim décalée'!T40+'alim décalée'!T41+'alim décalée'!I23</f>
        <v>3350</v>
      </c>
      <c r="K34" s="140">
        <f>'alim décalée'!I27+'alim décalée'!I29+'alim décalée'!I30+'alim décalée'!I31+'alim décalée'!T27+'alim décalée'!T29+'alim décalée'!T30+'alim décalée'!T31</f>
        <v>2150</v>
      </c>
      <c r="L34" s="168">
        <f>'alim décalée'!I33+'alim décalée'!I34+'alim décalée'!I36+'alim décalée'!I39+'alim décalée'!I40+'alim décalée'!I41+'alim décalée'!T33+'alim décalée'!T34+'alim décalée'!T36+'alim décalée'!T39+'alim décalée'!T40+'alim décalée'!T41</f>
        <v>2350</v>
      </c>
    </row>
    <row r="35" spans="1:12">
      <c r="A35" s="160" t="s">
        <v>118</v>
      </c>
      <c r="B35" s="160">
        <v>450</v>
      </c>
      <c r="C35" s="161">
        <f t="shared" si="6"/>
        <v>0</v>
      </c>
      <c r="D35" s="160"/>
      <c r="E35" s="161">
        <f t="shared" si="4"/>
        <v>450</v>
      </c>
      <c r="F35" s="160">
        <v>100</v>
      </c>
      <c r="G35" s="161">
        <f t="shared" si="5"/>
        <v>0</v>
      </c>
      <c r="H35" s="170"/>
      <c r="I35" s="140">
        <f>('alim décalée'!H7+'alim décalée'!H8+'alim décalée'!H16)/5</f>
        <v>10</v>
      </c>
      <c r="J35" s="168">
        <f>('alim décalée'!H17+'alim décalée'!H19+'alim décalée'!H21+'alim décalée'!H23+'alim décalée'!H35+'alim décalée'!H37+'alim décalée'!H39+'alim décalée'!H40+'alim décalée'!H41)/5</f>
        <v>38</v>
      </c>
      <c r="K35" s="140">
        <f>('alim décalée'!H27+'alim décalée'!H29+'alim décalée'!H30+'alim décalée'!H31)/5</f>
        <v>23</v>
      </c>
      <c r="L35" s="168">
        <f>('alim décalée'!H33+'alim décalée'!H34+'alim décalée'!H36+'alim décalée'!H39+'alim décalée'!H40+'alim décalée'!H41)</f>
        <v>130</v>
      </c>
    </row>
    <row r="36" spans="1:12">
      <c r="A36" s="160" t="s">
        <v>124</v>
      </c>
      <c r="B36" s="160">
        <v>478</v>
      </c>
      <c r="C36" s="161">
        <f t="shared" si="6"/>
        <v>0</v>
      </c>
      <c r="D36" s="160"/>
      <c r="E36" s="161">
        <f t="shared" si="4"/>
        <v>0</v>
      </c>
      <c r="F36" s="160">
        <v>0</v>
      </c>
      <c r="G36" s="161">
        <f t="shared" si="5"/>
        <v>650.08000000000004</v>
      </c>
      <c r="H36" s="170">
        <v>136</v>
      </c>
      <c r="I36" s="140">
        <f>'alim décalée'!Q7+'alim décalée'!Q8+'alim décalée'!Q16</f>
        <v>8</v>
      </c>
      <c r="J36" s="168">
        <f>'alim décalée'!Q17+'alim décalée'!Q19+'alim décalée'!Q21+'alim décalée'!Q23+'alim décalée'!Q35+'alim décalée'!Q37+'alim décalée'!Q39+'alim décalée'!Q40+'alim décalée'!Q41</f>
        <v>31</v>
      </c>
      <c r="K36" s="140">
        <f>'alim décalée'!Q27+'alim décalée'!Q29+'alim décalée'!Q30+'alim décalée'!Q31</f>
        <v>20</v>
      </c>
      <c r="L36" s="168">
        <f>'alim décalée'!Q33+'alim décalée'!Q34+'alim décalée'!Q36+'alim décalée'!Q39+'alim décalée'!Q40+'alim décalée'!Q41/5</f>
        <v>18.600000000000001</v>
      </c>
    </row>
    <row r="37" spans="1:12">
      <c r="A37" s="160" t="s">
        <v>178</v>
      </c>
      <c r="B37" s="160">
        <v>400</v>
      </c>
      <c r="C37" s="161">
        <f t="shared" si="6"/>
        <v>0</v>
      </c>
      <c r="D37" s="160"/>
      <c r="E37" s="161">
        <f t="shared" si="4"/>
        <v>200</v>
      </c>
      <c r="F37" s="160">
        <v>50</v>
      </c>
      <c r="G37" s="161">
        <f t="shared" si="5"/>
        <v>200</v>
      </c>
      <c r="H37" s="170">
        <v>50</v>
      </c>
      <c r="I37" s="140">
        <f>'alim décalée'!M7+'alim décalée'!M8+'alim décalée'!M16+'alim décalée'!R7+'alim décalée'!R8+'alim décalée'!R16</f>
        <v>900</v>
      </c>
      <c r="J37" s="168">
        <f>'alim décalée'!M17+'alim décalée'!M19+'alim décalée'!M21+'alim décalée'!M23+'alim décalée'!M35+'alim décalée'!M37+'alim décalée'!M39+'alim décalée'!M40+'alim décalée'!M41+'alim décalée'!R17+'alim décalée'!R19+'alim décalée'!R21+'alim décalée'!R23+'alim décalée'!R35+'alim décalée'!R37+'alim décalée'!R39+'alim décalée'!R40+'alim décalée'!R41</f>
        <v>3350</v>
      </c>
      <c r="K37" s="140">
        <f>'alim décalée'!M27+'alim décalée'!M29+'alim décalée'!M30+'alim décalée'!M31+'alim décalée'!R27+'alim décalée'!R29+'alim décalée'!R30+'alim décalée'!R31</f>
        <v>2150</v>
      </c>
      <c r="L37" s="168">
        <f>'alim décalée'!M33+'alim décalée'!M34+'alim décalée'!M36+'alim décalée'!M39+'alim décalée'!M40+'alim décalée'!M41+'alim décalée'!R33+'alim décalée'!R34+'alim décalée'!R36+'alim décalée'!R39+'alim décalée'!R40+'alim décalée'!R41</f>
        <v>2350</v>
      </c>
    </row>
    <row r="38" spans="1:12">
      <c r="A38" s="160" t="s">
        <v>179</v>
      </c>
      <c r="B38" s="160">
        <v>900</v>
      </c>
      <c r="C38" s="161">
        <f t="shared" si="6"/>
        <v>0</v>
      </c>
      <c r="D38" s="160"/>
      <c r="E38" s="161">
        <f t="shared" si="4"/>
        <v>0</v>
      </c>
      <c r="F38" s="160"/>
      <c r="G38" s="161">
        <f t="shared" si="5"/>
        <v>180</v>
      </c>
      <c r="H38" s="170">
        <v>20</v>
      </c>
      <c r="I38" s="140">
        <f>'alim décalée'!N7+'alim décalée'!N8+'alim décalée'!N16</f>
        <v>140</v>
      </c>
      <c r="J38" s="168">
        <f>'alim décalée'!N17+'alim décalée'!N19+'alim décalée'!N21+'alim décalée'!N23+'alim décalée'!N35+'alim décalée'!N37+'alim décalée'!N39+'alim décalée'!N40+'alim décalée'!N41</f>
        <v>580</v>
      </c>
      <c r="K38" s="140">
        <f>'alim décalée'!N27+'alim décalée'!N29+'alim décalée'!N30+'alim décalée'!N31</f>
        <v>400</v>
      </c>
      <c r="L38" s="168">
        <f>'alim décalée'!N33+'alim décalée'!N34+'alim décalée'!N36+'alim décalée'!N39+'alim décalée'!N40+'alim décalée'!N41</f>
        <v>420</v>
      </c>
    </row>
    <row r="39" spans="1:12">
      <c r="A39" s="160" t="s">
        <v>180</v>
      </c>
      <c r="B39" s="160">
        <v>300</v>
      </c>
      <c r="C39" s="161">
        <f t="shared" si="6"/>
        <v>0</v>
      </c>
      <c r="D39" s="160"/>
      <c r="E39" s="161">
        <f t="shared" si="4"/>
        <v>0</v>
      </c>
      <c r="F39" s="160"/>
      <c r="G39" s="161">
        <f t="shared" si="5"/>
        <v>0</v>
      </c>
      <c r="H39" s="170"/>
      <c r="I39" s="140">
        <v>0</v>
      </c>
      <c r="J39" s="168">
        <f>0</f>
        <v>0</v>
      </c>
      <c r="K39" s="140">
        <f>0</f>
        <v>0</v>
      </c>
      <c r="L39" s="168">
        <f>0</f>
        <v>0</v>
      </c>
    </row>
    <row r="40" spans="1:12">
      <c r="A40" s="160" t="s">
        <v>181</v>
      </c>
      <c r="B40" s="160">
        <v>630</v>
      </c>
      <c r="C40" s="161">
        <f t="shared" si="6"/>
        <v>0</v>
      </c>
      <c r="D40" s="160"/>
      <c r="E40" s="161">
        <f t="shared" si="4"/>
        <v>315</v>
      </c>
      <c r="F40" s="160">
        <v>50</v>
      </c>
      <c r="G40" s="161">
        <f t="shared" si="5"/>
        <v>315</v>
      </c>
      <c r="H40" s="170">
        <v>50</v>
      </c>
      <c r="I40" s="140">
        <f>'alim décalée'!K7+'alim décalée'!K8+'alim décalée'!K16+'alim décalée'!S7+'alim décalée'!S8+'alim décalée'!S16</f>
        <v>900</v>
      </c>
      <c r="J40" s="168">
        <f>'alim décalée'!K17+'alim décalée'!K19+'alim décalée'!K21+'alim décalée'!K23+'alim décalée'!K35+'alim décalée'!K37+'alim décalée'!K39+'alim décalée'!K40+'alim décalée'!K41+'alim décalée'!S17+'alim décalée'!S19+'alim décalée'!S21+'alim décalée'!S23+'alim décalée'!S35+'alim décalée'!S37+'alim décalée'!S39+'alim décalée'!S40+'alim décalée'!S41</f>
        <v>3450</v>
      </c>
      <c r="K40" s="140">
        <f>'alim décalée'!K27+'alim décalée'!K29+'alim décalée'!K30+'alim décalée'!K31+'alim décalée'!S27+'alim décalée'!S29+'alim décalée'!S30+'alim décalée'!S31</f>
        <v>2150</v>
      </c>
      <c r="L40" s="168">
        <f>'alim décalée'!K33+'alim décalée'!K34+'alim décalée'!K36+'alim décalée'!K39+'alim décalée'!K40+'alim décalée'!K41+'alim décalée'!S33+'alim décalée'!S34+'alim décalée'!S36+'alim décalée'!S39+'alim décalée'!S40+'alim décalée'!S41</f>
        <v>2350</v>
      </c>
    </row>
    <row r="41" spans="1:12">
      <c r="A41" s="160" t="s">
        <v>117</v>
      </c>
      <c r="B41" s="160">
        <v>0</v>
      </c>
      <c r="C41" s="161">
        <f t="shared" si="6"/>
        <v>0</v>
      </c>
      <c r="D41" s="160">
        <v>1</v>
      </c>
      <c r="E41" s="161">
        <f t="shared" si="4"/>
        <v>0</v>
      </c>
      <c r="F41" s="160"/>
      <c r="G41" s="161">
        <f t="shared" si="5"/>
        <v>0</v>
      </c>
      <c r="H41" s="170"/>
      <c r="I41" s="140">
        <f>'alim décalée'!G7+'alim décalée'!G8+'alim décalée'!G16</f>
        <v>10</v>
      </c>
      <c r="J41" s="168">
        <f>'alim décalée'!G17+'alim décalée'!G19+'alim décalée'!G21+'alim décalée'!G23+'alim décalée'!G35+'alim décalée'!G37+'alim décalée'!G39+'alim décalée'!G40+'alim décalée'!G41</f>
        <v>38</v>
      </c>
      <c r="K41" s="140">
        <f>'alim décalée'!G27+'alim décalée'!G29+'alim décalée'!G30+'alim décalée'!G31</f>
        <v>23</v>
      </c>
      <c r="L41" s="168">
        <f>'alim décalée'!G33+'alim décalée'!G34+'alim décalée'!G36+'alim décalée'!G39+'alim décalée'!G40+'alim décalée'!G41</f>
        <v>26</v>
      </c>
    </row>
    <row r="42" spans="1:12">
      <c r="A42" s="160" t="s">
        <v>116</v>
      </c>
      <c r="B42" s="160">
        <v>540</v>
      </c>
      <c r="C42" s="161">
        <f t="shared" si="6"/>
        <v>540</v>
      </c>
      <c r="D42" s="160">
        <v>100</v>
      </c>
      <c r="E42" s="161">
        <f t="shared" si="4"/>
        <v>0</v>
      </c>
      <c r="F42" s="160"/>
      <c r="G42" s="161">
        <f t="shared" si="5"/>
        <v>0</v>
      </c>
      <c r="H42" s="170"/>
      <c r="I42" s="140">
        <f>'alim décalée'!F7+'alim décalée'!F8+'alim décalée'!F16</f>
        <v>1000</v>
      </c>
      <c r="J42" s="168">
        <f>'alim décalée'!F17+'alim décalée'!F19+'alim décalée'!F21+'alim décalée'!F23+'alim décalée'!F35+'alim décalée'!F37+'alim décalée'!F39+'alim décalée'!F40+'alim décalée'!F41</f>
        <v>3800</v>
      </c>
      <c r="K42" s="140">
        <f>'alim décalée'!F27+'alim décalée'!F29+'alim décalée'!F30+'alim décalée'!F31</f>
        <v>2300</v>
      </c>
      <c r="L42" s="168">
        <f>'alim décalée'!F33+'alim décalée'!F34+'alim décalée'!F36+'alim décalée'!F39+'alim décalée'!F40+'alim décalée'!F41</f>
        <v>2600</v>
      </c>
    </row>
    <row r="43" spans="1:12">
      <c r="A43" s="160" t="s">
        <v>122</v>
      </c>
      <c r="B43" s="160">
        <v>350</v>
      </c>
      <c r="C43" s="161">
        <f t="shared" si="6"/>
        <v>0</v>
      </c>
      <c r="D43" s="160"/>
      <c r="E43" s="161">
        <f t="shared" si="4"/>
        <v>350</v>
      </c>
      <c r="F43" s="160">
        <v>100</v>
      </c>
      <c r="G43" s="161">
        <f t="shared" si="5"/>
        <v>0</v>
      </c>
      <c r="H43" s="170"/>
      <c r="I43" s="140">
        <f>'alim décalée'!J7+'alim décalée'!J8+'alim décalée'!J16</f>
        <v>10</v>
      </c>
      <c r="J43" s="168">
        <f>'alim décalée'!J17+'alim décalée'!J19+'alim décalée'!J21+'alim décalée'!J23+'alim décalée'!J35+'alim décalée'!J37+'alim décalée'!J39+'alim décalée'!J40+'alim décalée'!J41</f>
        <v>38</v>
      </c>
      <c r="K43" s="140">
        <f>'alim décalée'!J27+'alim décalée'!J29+'alim décalée'!J30+'alim décalée'!J31</f>
        <v>23</v>
      </c>
      <c r="L43" s="168">
        <f>'alim décalée'!J33+'alim décalée'!J34+'alim décalée'!J36+'alim décalée'!J39+'alim décalée'!J40+'alim décalée'!J41</f>
        <v>26</v>
      </c>
    </row>
    <row r="44" spans="1:12">
      <c r="A44" s="160" t="s">
        <v>182</v>
      </c>
      <c r="B44" s="160">
        <v>350</v>
      </c>
      <c r="C44" s="161">
        <f t="shared" si="6"/>
        <v>0</v>
      </c>
      <c r="D44" s="160"/>
      <c r="E44" s="161">
        <f t="shared" si="4"/>
        <v>0</v>
      </c>
      <c r="F44" s="160"/>
      <c r="G44" s="161">
        <f t="shared" si="5"/>
        <v>175</v>
      </c>
      <c r="H44" s="170">
        <v>50</v>
      </c>
      <c r="I44" s="140">
        <f>'alim décalée'!P7+'alim décalée'!P8+'alim décalée'!P16</f>
        <v>350</v>
      </c>
      <c r="J44" s="168">
        <f>'alim décalée'!P17+'alim décalée'!P19+'alim décalée'!P21+'alim décalée'!P23+'alim décalée'!P35+'alim décalée'!P37+'alim décalée'!P39+'alim décalée'!P40+'alim décalée'!P41</f>
        <v>1450</v>
      </c>
      <c r="K44" s="140">
        <f>'alim décalée'!P27+'alim décalée'!P29+'alim décalée'!P30+'alim décalée'!P31</f>
        <v>1000</v>
      </c>
      <c r="L44" s="168">
        <f>'alim décalée'!P33+'alim décalée'!P34+'alim décalée'!P36+'alim décalée'!P39+'alim décalée'!P40+'alim décalée'!P41</f>
        <v>1050</v>
      </c>
    </row>
    <row r="45" spans="1:12">
      <c r="A45" s="160" t="s">
        <v>183</v>
      </c>
      <c r="B45" s="160">
        <v>330</v>
      </c>
      <c r="C45" s="161">
        <f t="shared" si="6"/>
        <v>0</v>
      </c>
      <c r="D45" s="160"/>
      <c r="E45" s="161">
        <f t="shared" si="4"/>
        <v>99</v>
      </c>
      <c r="F45" s="160">
        <v>30</v>
      </c>
      <c r="G45" s="161">
        <f t="shared" si="5"/>
        <v>0</v>
      </c>
      <c r="H45" s="170"/>
      <c r="I45" s="140">
        <f>'alim décalée'!L7+'alim décalée'!L8+'alim décalée'!L16</f>
        <v>300</v>
      </c>
      <c r="J45" s="168">
        <f>'alim décalée'!L17+'alim décalée'!L19+'alim décalée'!L21+'alim décalée'!L23+'alim décalée'!L35+'alim décalée'!L37+'alim décalée'!L39+'alim décalée'!L40+'alim décalée'!L41</f>
        <v>1140</v>
      </c>
      <c r="K45" s="140">
        <f>'alim décalée'!L27+'alim décalée'!L29+'alim décalée'!L30+'alim décalée'!L31</f>
        <v>690</v>
      </c>
      <c r="L45" s="168">
        <f>'alim décalée'!L33+'alim décalée'!L34+'alim décalée'!L36+'alim décalée'!L39+'alim décalée'!L40+'alim décalée'!L41</f>
        <v>780</v>
      </c>
    </row>
    <row r="46" spans="1:12">
      <c r="A46" s="159"/>
      <c r="B46" s="159"/>
      <c r="C46" s="161">
        <f t="shared" ref="C46:H46" si="7">SUM(C33:C45)</f>
        <v>540</v>
      </c>
      <c r="D46" s="161">
        <f t="shared" si="7"/>
        <v>101</v>
      </c>
      <c r="E46" s="161">
        <f t="shared" si="7"/>
        <v>1755.9117647058824</v>
      </c>
      <c r="F46" s="161">
        <f t="shared" si="7"/>
        <v>405</v>
      </c>
      <c r="G46" s="161">
        <f t="shared" si="7"/>
        <v>1861.9917647058824</v>
      </c>
      <c r="H46" s="171">
        <f t="shared" si="7"/>
        <v>381</v>
      </c>
      <c r="I46" s="140"/>
      <c r="J46" s="168"/>
      <c r="K46" s="140"/>
      <c r="L46" s="168"/>
    </row>
    <row r="47" spans="1:12">
      <c r="A47" s="159"/>
      <c r="B47" s="159"/>
      <c r="C47" s="159"/>
      <c r="D47" s="159"/>
      <c r="E47" s="159"/>
      <c r="F47" s="159"/>
      <c r="G47" s="159"/>
      <c r="H47" s="159"/>
      <c r="I47" s="130"/>
      <c r="J47" s="130"/>
      <c r="K47" s="130" t="s">
        <v>270</v>
      </c>
      <c r="L47" s="130">
        <f>'alim décalée'!E35+'alim décalée'!E37+'alim décalée'!E39+'alim décalée'!E40</f>
        <v>16.899999999999999</v>
      </c>
    </row>
    <row r="48" spans="1:12">
      <c r="A48" s="159" t="s">
        <v>184</v>
      </c>
      <c r="B48" s="159"/>
      <c r="C48" s="159"/>
      <c r="D48" s="159"/>
      <c r="E48" s="159"/>
      <c r="F48" s="159"/>
      <c r="G48" s="159"/>
      <c r="H48" s="159"/>
      <c r="I48" s="130"/>
      <c r="J48" s="130"/>
      <c r="K48" s="130" t="s">
        <v>274</v>
      </c>
      <c r="L48" s="130">
        <f>'alim décalée'!E24+'alim décalée'!E25+'alim décalée'!E26+'alim décalée'!E28</f>
        <v>16.8</v>
      </c>
    </row>
    <row r="49" spans="1:12">
      <c r="A49" s="160" t="s">
        <v>181</v>
      </c>
      <c r="B49" s="160">
        <v>630</v>
      </c>
      <c r="C49" s="161">
        <f>B49*(D49/100)</f>
        <v>0</v>
      </c>
      <c r="D49" s="160"/>
      <c r="E49" s="161">
        <f>$B40*(F49/100)</f>
        <v>315</v>
      </c>
      <c r="F49" s="160">
        <v>50</v>
      </c>
      <c r="G49" s="161">
        <f>'alim décalée'!$B26*(H49/100)</f>
        <v>0</v>
      </c>
      <c r="H49" s="160"/>
      <c r="I49" s="130"/>
      <c r="J49" s="130"/>
      <c r="K49" s="130"/>
      <c r="L49" s="130"/>
    </row>
    <row r="50" spans="1:12">
      <c r="A50" s="160" t="s">
        <v>179</v>
      </c>
      <c r="B50" s="160">
        <v>900</v>
      </c>
      <c r="C50" s="161"/>
      <c r="D50" s="160"/>
      <c r="E50" s="161">
        <f>$B38*(F50/100)</f>
        <v>450</v>
      </c>
      <c r="F50" s="160">
        <v>50</v>
      </c>
      <c r="G50" s="161"/>
      <c r="H50" s="160"/>
      <c r="I50" s="130"/>
      <c r="J50" s="130"/>
      <c r="K50" s="130"/>
      <c r="L50" s="130"/>
    </row>
    <row r="51" spans="1:12">
      <c r="A51" s="160" t="s">
        <v>122</v>
      </c>
      <c r="B51" s="160">
        <v>350</v>
      </c>
      <c r="C51" s="161">
        <f>B51*(D51/100)</f>
        <v>0</v>
      </c>
      <c r="D51" s="160"/>
      <c r="E51" s="161">
        <f>'alim décalée'!$B28*(F51/100)</f>
        <v>0</v>
      </c>
      <c r="F51" s="160"/>
      <c r="G51" s="161">
        <f>'alim décalée'!$B28*(H51/100)</f>
        <v>0</v>
      </c>
      <c r="H51" s="160"/>
      <c r="I51" s="130"/>
      <c r="J51" s="130"/>
      <c r="K51" s="130"/>
      <c r="L51" s="130"/>
    </row>
    <row r="52" spans="1:12">
      <c r="A52" s="159"/>
      <c r="B52" s="159"/>
      <c r="C52" s="159"/>
      <c r="D52" s="159"/>
      <c r="E52" s="159">
        <f>SUM(E49:E51)</f>
        <v>765</v>
      </c>
      <c r="F52" s="159">
        <f>SUM(F49:F51)</f>
        <v>100</v>
      </c>
      <c r="G52" s="159"/>
      <c r="H52" s="159"/>
      <c r="I52" s="130"/>
      <c r="J52" s="130"/>
      <c r="K52" s="130"/>
      <c r="L52" s="130"/>
    </row>
    <row r="54" spans="1:12" ht="60">
      <c r="A54" s="76" t="s">
        <v>323</v>
      </c>
      <c r="B54" s="173" t="s">
        <v>280</v>
      </c>
      <c r="C54" s="174" t="s">
        <v>281</v>
      </c>
      <c r="D54" s="173" t="s">
        <v>282</v>
      </c>
      <c r="E54" s="53" t="s">
        <v>279</v>
      </c>
      <c r="F54" s="173" t="s">
        <v>324</v>
      </c>
      <c r="G54" s="173" t="s">
        <v>325</v>
      </c>
      <c r="H54" s="53" t="s">
        <v>326</v>
      </c>
      <c r="I54" s="174" t="s">
        <v>177</v>
      </c>
    </row>
    <row r="55" spans="1:12" ht="48.75">
      <c r="A55" s="176" t="s">
        <v>283</v>
      </c>
      <c r="B55" s="173" t="s">
        <v>284</v>
      </c>
      <c r="C55" s="174">
        <f>4.8*28.35</f>
        <v>136.08000000000001</v>
      </c>
      <c r="D55" s="173">
        <f>260*2.5</f>
        <v>650</v>
      </c>
      <c r="E55" s="175">
        <f t="shared" ref="E55:E74" si="8">D55/C55*100</f>
        <v>477.66019988242209</v>
      </c>
      <c r="F55" s="173"/>
      <c r="G55" s="173"/>
      <c r="H55" s="173"/>
      <c r="I55" s="174"/>
    </row>
    <row r="56" spans="1:12" ht="48.75">
      <c r="A56" s="176" t="s">
        <v>285</v>
      </c>
      <c r="B56" s="173" t="s">
        <v>286</v>
      </c>
      <c r="C56" s="174">
        <f>4.8*28.35</f>
        <v>136.08000000000001</v>
      </c>
      <c r="D56" s="173">
        <f>240*2.5</f>
        <v>600</v>
      </c>
      <c r="E56" s="175">
        <f t="shared" si="8"/>
        <v>440.91710758377423</v>
      </c>
      <c r="F56" s="173"/>
      <c r="G56" s="173"/>
      <c r="H56" s="173"/>
      <c r="I56" s="174"/>
    </row>
    <row r="57" spans="1:12" ht="48.75">
      <c r="A57" s="176" t="s">
        <v>287</v>
      </c>
      <c r="B57" s="173" t="s">
        <v>288</v>
      </c>
      <c r="C57" s="174">
        <f>4.55*28.35</f>
        <v>128.99250000000001</v>
      </c>
      <c r="D57" s="173">
        <f>180*2.5</f>
        <v>450</v>
      </c>
      <c r="E57" s="175">
        <f t="shared" si="8"/>
        <v>348.85749171463453</v>
      </c>
      <c r="F57" s="173"/>
      <c r="G57" s="173"/>
      <c r="H57" s="173"/>
      <c r="I57" s="174"/>
    </row>
    <row r="58" spans="1:12" ht="48.75">
      <c r="A58" s="176" t="s">
        <v>289</v>
      </c>
      <c r="B58" s="173" t="s">
        <v>290</v>
      </c>
      <c r="C58" s="174">
        <f>4*28.35</f>
        <v>113.4</v>
      </c>
      <c r="D58" s="173">
        <f>250*2</f>
        <v>500</v>
      </c>
      <c r="E58" s="175">
        <f t="shared" si="8"/>
        <v>440.91710758377423</v>
      </c>
      <c r="F58" s="173"/>
      <c r="G58" s="173"/>
      <c r="H58" s="173"/>
      <c r="I58" s="174"/>
    </row>
    <row r="59" spans="1:12" ht="36.75">
      <c r="A59" s="176" t="s">
        <v>291</v>
      </c>
      <c r="B59" s="173" t="s">
        <v>292</v>
      </c>
      <c r="C59" s="174">
        <f>4.94*28.35</f>
        <v>140.04900000000001</v>
      </c>
      <c r="D59" s="173">
        <f>310*2</f>
        <v>620</v>
      </c>
      <c r="E59" s="175">
        <f t="shared" si="8"/>
        <v>442.70219708816194</v>
      </c>
      <c r="F59" s="173"/>
      <c r="G59" s="173"/>
      <c r="H59" s="173"/>
      <c r="I59" s="174"/>
    </row>
    <row r="60" spans="1:12" ht="48.75">
      <c r="A60" s="176" t="s">
        <v>293</v>
      </c>
      <c r="B60" s="173" t="s">
        <v>294</v>
      </c>
      <c r="C60" s="174">
        <f>4.06*28.35</f>
        <v>115.101</v>
      </c>
      <c r="D60" s="173">
        <f>260*2</f>
        <v>520</v>
      </c>
      <c r="E60" s="175">
        <f t="shared" si="8"/>
        <v>451.7771348641628</v>
      </c>
      <c r="F60" s="173"/>
      <c r="G60" s="173"/>
      <c r="H60" s="173"/>
      <c r="I60" s="174"/>
    </row>
    <row r="61" spans="1:12" ht="48.75">
      <c r="A61" s="176" t="s">
        <v>295</v>
      </c>
      <c r="B61" s="173" t="s">
        <v>296</v>
      </c>
      <c r="C61" s="174">
        <f>5.4*28.35</f>
        <v>153.09000000000003</v>
      </c>
      <c r="D61" s="173">
        <f>210*3</f>
        <v>630</v>
      </c>
      <c r="E61" s="175">
        <f t="shared" si="8"/>
        <v>411.52263374485585</v>
      </c>
      <c r="F61" s="173"/>
      <c r="G61" s="173"/>
      <c r="H61" s="173"/>
      <c r="I61" s="174"/>
    </row>
    <row r="62" spans="1:12" ht="48.75">
      <c r="A62" s="176" t="s">
        <v>297</v>
      </c>
      <c r="B62" s="173" t="s">
        <v>298</v>
      </c>
      <c r="C62" s="174">
        <f>4.06*28.35</f>
        <v>115.101</v>
      </c>
      <c r="D62" s="173">
        <f>240*2</f>
        <v>480</v>
      </c>
      <c r="E62" s="175">
        <f t="shared" si="8"/>
        <v>417.02504756691951</v>
      </c>
      <c r="F62" s="173"/>
      <c r="G62" s="173"/>
      <c r="H62" s="173"/>
      <c r="I62" s="174"/>
    </row>
    <row r="63" spans="1:12" ht="48.75">
      <c r="A63" s="176" t="s">
        <v>299</v>
      </c>
      <c r="B63" s="173" t="s">
        <v>300</v>
      </c>
      <c r="C63" s="174">
        <f>4.51*28.35</f>
        <v>127.85850000000001</v>
      </c>
      <c r="D63" s="173">
        <f>230*2.5</f>
        <v>575</v>
      </c>
      <c r="E63" s="175">
        <f t="shared" si="8"/>
        <v>449.7158968703684</v>
      </c>
      <c r="F63" s="173"/>
      <c r="G63" s="173"/>
      <c r="H63" s="173"/>
      <c r="I63" s="174"/>
    </row>
    <row r="64" spans="1:12" ht="24.75">
      <c r="A64" s="177" t="s">
        <v>301</v>
      </c>
      <c r="B64" s="173" t="s">
        <v>302</v>
      </c>
      <c r="C64" s="174">
        <f>2.4*28.35</f>
        <v>68.040000000000006</v>
      </c>
      <c r="D64" s="173">
        <v>230</v>
      </c>
      <c r="E64" s="175">
        <f t="shared" si="8"/>
        <v>338.03644914756023</v>
      </c>
      <c r="F64" s="173">
        <f t="shared" ref="F64:F74" si="9">100/C64</f>
        <v>1.469723691945914</v>
      </c>
      <c r="G64" s="173"/>
      <c r="H64" s="173"/>
      <c r="I64" s="174"/>
    </row>
    <row r="65" spans="1:9" ht="24.75">
      <c r="A65" s="177" t="s">
        <v>303</v>
      </c>
      <c r="B65" s="173" t="s">
        <v>304</v>
      </c>
      <c r="C65" s="174">
        <v>28.35</v>
      </c>
      <c r="D65" s="173">
        <v>160</v>
      </c>
      <c r="E65" s="175">
        <f t="shared" si="8"/>
        <v>564.37389770723098</v>
      </c>
      <c r="F65" s="173">
        <f t="shared" si="9"/>
        <v>3.5273368606701938</v>
      </c>
      <c r="G65" s="173">
        <v>3</v>
      </c>
      <c r="H65" s="173">
        <f t="shared" ref="H65:H70" si="10">G65*D65</f>
        <v>480</v>
      </c>
      <c r="I65" s="174">
        <f t="shared" ref="I65:I70" si="11">G65*C65</f>
        <v>85.050000000000011</v>
      </c>
    </row>
    <row r="66" spans="1:9" ht="24.75">
      <c r="A66" s="177" t="s">
        <v>305</v>
      </c>
      <c r="B66" s="173" t="s">
        <v>306</v>
      </c>
      <c r="C66" s="174">
        <f>3.75*28.35</f>
        <v>106.3125</v>
      </c>
      <c r="D66" s="173">
        <v>420</v>
      </c>
      <c r="E66" s="175">
        <f t="shared" si="8"/>
        <v>395.06172839506172</v>
      </c>
      <c r="F66" s="173">
        <f t="shared" si="9"/>
        <v>0.94062316284538505</v>
      </c>
      <c r="G66" s="173">
        <v>1</v>
      </c>
      <c r="H66" s="173">
        <f t="shared" si="10"/>
        <v>420</v>
      </c>
      <c r="I66" s="174">
        <f t="shared" si="11"/>
        <v>106.3125</v>
      </c>
    </row>
    <row r="67" spans="1:9" ht="24.75">
      <c r="A67" s="177" t="s">
        <v>307</v>
      </c>
      <c r="B67" s="173" t="s">
        <v>308</v>
      </c>
      <c r="C67" s="174">
        <f>1.41*28.35</f>
        <v>39.973500000000001</v>
      </c>
      <c r="D67" s="173">
        <v>180</v>
      </c>
      <c r="E67" s="175">
        <f t="shared" si="8"/>
        <v>450.29832263874817</v>
      </c>
      <c r="F67" s="173">
        <f t="shared" si="9"/>
        <v>2.5016573479930453</v>
      </c>
      <c r="G67" s="173">
        <v>3</v>
      </c>
      <c r="H67" s="173">
        <f t="shared" si="10"/>
        <v>540</v>
      </c>
      <c r="I67" s="174">
        <f t="shared" si="11"/>
        <v>119.9205</v>
      </c>
    </row>
    <row r="68" spans="1:9" ht="24.75">
      <c r="A68" s="177" t="s">
        <v>309</v>
      </c>
      <c r="B68" s="173" t="s">
        <v>310</v>
      </c>
      <c r="C68" s="174">
        <f>3*28.35</f>
        <v>85.050000000000011</v>
      </c>
      <c r="D68" s="173">
        <f>180*2</f>
        <v>360</v>
      </c>
      <c r="E68" s="175">
        <f t="shared" si="8"/>
        <v>423.28042328042324</v>
      </c>
      <c r="F68" s="173">
        <f t="shared" si="9"/>
        <v>1.1757789535567311</v>
      </c>
      <c r="G68" s="173">
        <v>1</v>
      </c>
      <c r="H68" s="173">
        <f t="shared" si="10"/>
        <v>360</v>
      </c>
      <c r="I68" s="174">
        <f t="shared" si="11"/>
        <v>85.050000000000011</v>
      </c>
    </row>
    <row r="69" spans="1:9" ht="36.75">
      <c r="A69" s="177" t="s">
        <v>311</v>
      </c>
      <c r="B69" s="173" t="s">
        <v>312</v>
      </c>
      <c r="C69" s="174">
        <f>2.2*28.35</f>
        <v>62.370000000000012</v>
      </c>
      <c r="D69" s="173">
        <v>240</v>
      </c>
      <c r="E69" s="175">
        <f t="shared" si="8"/>
        <v>384.80038480038473</v>
      </c>
      <c r="F69" s="173">
        <f t="shared" si="9"/>
        <v>1.6033349366682697</v>
      </c>
      <c r="G69" s="173">
        <v>2</v>
      </c>
      <c r="H69" s="173">
        <f t="shared" si="10"/>
        <v>480</v>
      </c>
      <c r="I69" s="174">
        <f t="shared" si="11"/>
        <v>124.74000000000002</v>
      </c>
    </row>
    <row r="70" spans="1:9" ht="24.75">
      <c r="A70" s="177" t="s">
        <v>313</v>
      </c>
      <c r="B70" s="173" t="s">
        <v>314</v>
      </c>
      <c r="C70" s="174">
        <f>1.4*28.35</f>
        <v>39.69</v>
      </c>
      <c r="D70" s="173">
        <v>160</v>
      </c>
      <c r="E70" s="175">
        <f t="shared" si="8"/>
        <v>403.12421264802214</v>
      </c>
      <c r="F70" s="173">
        <f t="shared" si="9"/>
        <v>2.5195263290501386</v>
      </c>
      <c r="G70" s="173">
        <v>3</v>
      </c>
      <c r="H70" s="173">
        <f t="shared" si="10"/>
        <v>480</v>
      </c>
      <c r="I70" s="174">
        <f t="shared" si="11"/>
        <v>119.07</v>
      </c>
    </row>
    <row r="71" spans="1:9" ht="36.75">
      <c r="A71" s="177" t="s">
        <v>315</v>
      </c>
      <c r="B71" s="173" t="s">
        <v>316</v>
      </c>
      <c r="C71" s="174">
        <f>3*28.35</f>
        <v>85.050000000000011</v>
      </c>
      <c r="D71" s="173">
        <f>3*70</f>
        <v>210</v>
      </c>
      <c r="E71" s="175">
        <f t="shared" si="8"/>
        <v>246.91358024691357</v>
      </c>
      <c r="F71" s="173">
        <f t="shared" si="9"/>
        <v>1.1757789535567311</v>
      </c>
      <c r="G71" s="173"/>
      <c r="H71" s="173"/>
      <c r="I71" s="174"/>
    </row>
    <row r="72" spans="1:9" ht="24.75">
      <c r="A72" s="177" t="s">
        <v>317</v>
      </c>
      <c r="B72" s="173" t="s">
        <v>318</v>
      </c>
      <c r="C72" s="174">
        <f>1.25*28.35</f>
        <v>35.4375</v>
      </c>
      <c r="D72" s="173">
        <f>80*1.25</f>
        <v>100</v>
      </c>
      <c r="E72" s="175">
        <f t="shared" si="8"/>
        <v>282.18694885361549</v>
      </c>
      <c r="F72" s="173">
        <f t="shared" si="9"/>
        <v>2.821869488536155</v>
      </c>
      <c r="G72" s="173"/>
      <c r="H72" s="173"/>
      <c r="I72" s="174"/>
    </row>
    <row r="73" spans="1:9" ht="24.75">
      <c r="A73" s="177" t="s">
        <v>319</v>
      </c>
      <c r="B73" s="173" t="s">
        <v>320</v>
      </c>
      <c r="C73" s="174">
        <f>1.4*28.35</f>
        <v>39.69</v>
      </c>
      <c r="D73" s="173">
        <f>170</f>
        <v>170</v>
      </c>
      <c r="E73" s="175">
        <f t="shared" si="8"/>
        <v>428.31947593852357</v>
      </c>
      <c r="F73" s="173">
        <f t="shared" si="9"/>
        <v>2.5195263290501386</v>
      </c>
      <c r="G73" s="173">
        <v>3</v>
      </c>
      <c r="H73" s="173">
        <f>G73*D73</f>
        <v>510</v>
      </c>
      <c r="I73" s="174">
        <f>G73*C73</f>
        <v>119.07</v>
      </c>
    </row>
    <row r="74" spans="1:9" ht="24.75">
      <c r="A74" s="177" t="s">
        <v>321</v>
      </c>
      <c r="B74" s="173" t="s">
        <v>322</v>
      </c>
      <c r="C74" s="174">
        <f>2*28.35</f>
        <v>56.7</v>
      </c>
      <c r="D74" s="173">
        <v>240</v>
      </c>
      <c r="E74" s="175">
        <f t="shared" si="8"/>
        <v>423.28042328042324</v>
      </c>
      <c r="F74" s="173">
        <f t="shared" si="9"/>
        <v>1.7636684303350969</v>
      </c>
      <c r="G74" s="173">
        <v>2</v>
      </c>
      <c r="H74" s="173">
        <f>G74*D74</f>
        <v>480</v>
      </c>
      <c r="I74" s="174">
        <f>G74*C74</f>
        <v>113.4</v>
      </c>
    </row>
  </sheetData>
  <mergeCells count="16">
    <mergeCell ref="C31:D31"/>
    <mergeCell ref="E31:F31"/>
    <mergeCell ref="G31:H31"/>
    <mergeCell ref="I27:L27"/>
    <mergeCell ref="I29:I31"/>
    <mergeCell ref="J29:J31"/>
    <mergeCell ref="K29:K31"/>
    <mergeCell ref="L29:L31"/>
    <mergeCell ref="C6:D6"/>
    <mergeCell ref="E6:F6"/>
    <mergeCell ref="G6:H6"/>
    <mergeCell ref="I2:L2"/>
    <mergeCell ref="I4:I6"/>
    <mergeCell ref="J4:J6"/>
    <mergeCell ref="K4:K6"/>
    <mergeCell ref="L4:L6"/>
  </mergeCells>
  <conditionalFormatting sqref="E55:E7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31496062992125984" right="0.31496062992125984" top="0.15748031496062992" bottom="0.15748031496062992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PCT continu</vt:lpstr>
      <vt:lpstr>alim continu</vt:lpstr>
      <vt:lpstr>Sierra décalée</vt:lpstr>
      <vt:lpstr>alim décalée</vt:lpstr>
      <vt:lpstr>achats</vt:lpstr>
      <vt:lpstr>'alim continu'!Zone_d_impression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2018-01-20T12:09:07Z</dcterms:modified>
</cp:coreProperties>
</file>