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nicianu\Desktop\"/>
    </mc:Choice>
  </mc:AlternateContent>
  <xr:revisionPtr revIDLastSave="0" documentId="13_ncr:1_{6DAD9238-929C-4005-B6A6-85120BAAD693}" xr6:coauthVersionLast="47" xr6:coauthVersionMax="47" xr10:uidLastSave="{00000000-0000-0000-0000-000000000000}"/>
  <bookViews>
    <workbookView xWindow="38295" yWindow="60" windowWidth="32310" windowHeight="20415" xr2:uid="{00000000-000D-0000-FFFF-FFFF00000000}"/>
  </bookViews>
  <sheets>
    <sheet name="Plan de marche" sheetId="16" r:id="rId1"/>
  </sheets>
  <definedNames>
    <definedName name="_xlnm.Print_Area" localSheetId="0">'Plan de marche'!$W$1:$AO$42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1" i="16" l="1"/>
  <c r="Z12" i="16"/>
  <c r="Z13" i="16"/>
  <c r="Z14" i="16"/>
  <c r="Z15" i="16"/>
  <c r="Z16" i="16"/>
  <c r="Z17" i="16"/>
  <c r="Z18" i="16"/>
  <c r="AB18" i="16" s="1"/>
  <c r="Z19" i="16"/>
  <c r="Z20" i="16"/>
  <c r="Z21" i="16"/>
  <c r="Z22" i="16"/>
  <c r="Z23" i="16"/>
  <c r="AD23" i="16" s="1"/>
  <c r="Z24" i="16"/>
  <c r="AD24" i="16" s="1"/>
  <c r="Z25" i="16"/>
  <c r="Z26" i="16"/>
  <c r="Z27" i="16"/>
  <c r="Z28" i="16"/>
  <c r="Z29" i="16"/>
  <c r="Z5" i="16"/>
  <c r="Z6" i="16"/>
  <c r="Z7" i="16"/>
  <c r="Z8" i="16"/>
  <c r="Z9" i="16"/>
  <c r="AB9" i="16" s="1"/>
  <c r="Z10" i="16"/>
  <c r="AB10" i="16" s="1"/>
  <c r="BF4" i="16"/>
  <c r="AK4" i="16"/>
  <c r="AV5" i="16"/>
  <c r="AT6" i="16"/>
  <c r="AY6" i="16" s="1"/>
  <c r="AT7" i="16"/>
  <c r="AY7" i="16" s="1"/>
  <c r="AT8" i="16"/>
  <c r="AW8" i="16" s="1"/>
  <c r="AX8" i="16" s="1"/>
  <c r="BB8" i="16" s="1"/>
  <c r="AT9" i="16"/>
  <c r="AY9" i="16" s="1"/>
  <c r="AT10" i="16"/>
  <c r="AW10" i="16" s="1"/>
  <c r="AX10" i="16" s="1"/>
  <c r="BB10" i="16" s="1"/>
  <c r="AT11" i="16"/>
  <c r="AY11" i="16" s="1"/>
  <c r="AT12" i="16"/>
  <c r="AW12" i="16" s="1"/>
  <c r="AX12" i="16" s="1"/>
  <c r="BB12" i="16" s="1"/>
  <c r="AT13" i="16"/>
  <c r="AY13" i="16" s="1"/>
  <c r="AT14" i="16"/>
  <c r="AW14" i="16" s="1"/>
  <c r="AX14" i="16" s="1"/>
  <c r="BB14" i="16" s="1"/>
  <c r="AT15" i="16"/>
  <c r="AY15" i="16" s="1"/>
  <c r="AT16" i="16"/>
  <c r="AY16" i="16" s="1"/>
  <c r="AT17" i="16"/>
  <c r="AW17" i="16" s="1"/>
  <c r="AX17" i="16" s="1"/>
  <c r="BB17" i="16" s="1"/>
  <c r="AT18" i="16"/>
  <c r="AW18" i="16" s="1"/>
  <c r="AX18" i="16" s="1"/>
  <c r="BB18" i="16" s="1"/>
  <c r="AT19" i="16"/>
  <c r="AY19" i="16" s="1"/>
  <c r="AT20" i="16"/>
  <c r="AW20" i="16" s="1"/>
  <c r="AX20" i="16" s="1"/>
  <c r="BB20" i="16" s="1"/>
  <c r="AT21" i="16"/>
  <c r="AW21" i="16" s="1"/>
  <c r="AX21" i="16" s="1"/>
  <c r="BB21" i="16" s="1"/>
  <c r="AT22" i="16"/>
  <c r="AW22" i="16" s="1"/>
  <c r="AX22" i="16" s="1"/>
  <c r="BB22" i="16" s="1"/>
  <c r="AT23" i="16"/>
  <c r="AY23" i="16" s="1"/>
  <c r="AT24" i="16"/>
  <c r="AY24" i="16" s="1"/>
  <c r="AT25" i="16"/>
  <c r="AW25" i="16" s="1"/>
  <c r="AX25" i="16" s="1"/>
  <c r="BB25" i="16" s="1"/>
  <c r="AT26" i="16"/>
  <c r="AW26" i="16" s="1"/>
  <c r="AX26" i="16" s="1"/>
  <c r="BB26" i="16" s="1"/>
  <c r="AT27" i="16"/>
  <c r="AY27" i="16" s="1"/>
  <c r="AT28" i="16"/>
  <c r="AW28" i="16" s="1"/>
  <c r="AX28" i="16" s="1"/>
  <c r="BB28" i="16" s="1"/>
  <c r="AT29" i="16"/>
  <c r="AY29" i="16" s="1"/>
  <c r="AT5" i="16"/>
  <c r="AY5" i="16" s="1"/>
  <c r="AR41" i="16"/>
  <c r="AR40" i="16"/>
  <c r="AR36" i="16"/>
  <c r="AT34" i="16"/>
  <c r="AW34" i="16" s="1"/>
  <c r="AX34" i="16" s="1"/>
  <c r="AT33" i="16"/>
  <c r="AY33" i="16" s="1"/>
  <c r="AT32" i="16"/>
  <c r="AY32" i="16" s="1"/>
  <c r="AT31" i="16"/>
  <c r="AY31" i="16" s="1"/>
  <c r="AT30" i="16"/>
  <c r="AY30" i="16" s="1"/>
  <c r="BE4" i="16"/>
  <c r="BA4" i="16" s="1"/>
  <c r="AX4" i="16"/>
  <c r="X41" i="16"/>
  <c r="X40" i="16"/>
  <c r="AD12" i="16"/>
  <c r="AD14" i="16"/>
  <c r="AB15" i="16"/>
  <c r="AD29" i="16"/>
  <c r="Z30" i="16"/>
  <c r="Z31" i="16"/>
  <c r="AB31" i="16" s="1"/>
  <c r="Z32" i="16"/>
  <c r="AD32" i="16" s="1"/>
  <c r="Z33" i="16"/>
  <c r="Z34" i="16"/>
  <c r="X36" i="16"/>
  <c r="AJ4" i="16"/>
  <c r="AF4" i="16" s="1"/>
  <c r="AV6" i="16" l="1"/>
  <c r="AV7" i="16" s="1"/>
  <c r="AV8" i="16" s="1"/>
  <c r="AV9" i="16" s="1"/>
  <c r="AV10" i="16" s="1"/>
  <c r="AV11" i="16" s="1"/>
  <c r="AV12" i="16" s="1"/>
  <c r="AV13" i="16" s="1"/>
  <c r="AV14" i="16" s="1"/>
  <c r="AV15" i="16" s="1"/>
  <c r="AV16" i="16" s="1"/>
  <c r="AV17" i="16" s="1"/>
  <c r="AV18" i="16" s="1"/>
  <c r="AV19" i="16" s="1"/>
  <c r="AV20" i="16" s="1"/>
  <c r="AV21" i="16" s="1"/>
  <c r="AV22" i="16" s="1"/>
  <c r="AV23" i="16" s="1"/>
  <c r="AV24" i="16" s="1"/>
  <c r="AV25" i="16" s="1"/>
  <c r="AV26" i="16" s="1"/>
  <c r="AV27" i="16" s="1"/>
  <c r="AV28" i="16" s="1"/>
  <c r="AV29" i="16" s="1"/>
  <c r="AY10" i="16"/>
  <c r="AW13" i="16"/>
  <c r="AX13" i="16" s="1"/>
  <c r="BB13" i="16" s="1"/>
  <c r="AY28" i="16"/>
  <c r="AW29" i="16"/>
  <c r="AX29" i="16" s="1"/>
  <c r="BB29" i="16" s="1"/>
  <c r="AY17" i="16"/>
  <c r="AY20" i="16"/>
  <c r="AY12" i="16"/>
  <c r="AY25" i="16"/>
  <c r="AY21" i="16"/>
  <c r="AW30" i="16"/>
  <c r="AX30" i="16" s="1"/>
  <c r="AW33" i="16"/>
  <c r="AX33" i="16" s="1"/>
  <c r="AY22" i="16"/>
  <c r="AY14" i="16"/>
  <c r="AW5" i="16"/>
  <c r="AX5" i="16" s="1"/>
  <c r="BB5" i="16" s="1"/>
  <c r="AR35" i="16"/>
  <c r="AY8" i="16"/>
  <c r="AW15" i="16"/>
  <c r="AX15" i="16" s="1"/>
  <c r="BB15" i="16" s="1"/>
  <c r="AY18" i="16"/>
  <c r="AW23" i="16"/>
  <c r="AX23" i="16" s="1"/>
  <c r="BB23" i="16" s="1"/>
  <c r="AY26" i="16"/>
  <c r="AW31" i="16"/>
  <c r="AX31" i="16" s="1"/>
  <c r="AY34" i="16"/>
  <c r="AW7" i="16"/>
  <c r="AX7" i="16" s="1"/>
  <c r="BB7" i="16" s="1"/>
  <c r="AW9" i="16"/>
  <c r="AX9" i="16" s="1"/>
  <c r="BB9" i="16" s="1"/>
  <c r="AW6" i="16"/>
  <c r="AX6" i="16" s="1"/>
  <c r="BB6" i="16" s="1"/>
  <c r="AW11" i="16"/>
  <c r="AX11" i="16" s="1"/>
  <c r="BB11" i="16" s="1"/>
  <c r="AW19" i="16"/>
  <c r="AX19" i="16" s="1"/>
  <c r="BB19" i="16" s="1"/>
  <c r="AW27" i="16"/>
  <c r="AX27" i="16" s="1"/>
  <c r="BB27" i="16" s="1"/>
  <c r="AW16" i="16"/>
  <c r="AX16" i="16" s="1"/>
  <c r="BB16" i="16" s="1"/>
  <c r="AW24" i="16"/>
  <c r="AX24" i="16" s="1"/>
  <c r="BB24" i="16" s="1"/>
  <c r="AW32" i="16"/>
  <c r="AX32" i="16" s="1"/>
  <c r="AD18" i="16"/>
  <c r="AB24" i="16"/>
  <c r="AC24" i="16" s="1"/>
  <c r="AG24" i="16" s="1"/>
  <c r="AB32" i="16"/>
  <c r="AD15" i="16"/>
  <c r="AB14" i="16"/>
  <c r="AD10" i="16"/>
  <c r="AD31" i="16"/>
  <c r="AD9" i="16"/>
  <c r="AB23" i="16"/>
  <c r="AB12" i="16"/>
  <c r="AB29" i="16"/>
  <c r="AC29" i="16" s="1"/>
  <c r="AD30" i="16"/>
  <c r="F45" i="16"/>
  <c r="G44" i="16"/>
  <c r="E40" i="16"/>
  <c r="E39" i="16"/>
  <c r="G39" i="16" s="1"/>
  <c r="AD28" i="16"/>
  <c r="AD20" i="16"/>
  <c r="AD19" i="16"/>
  <c r="L7" i="16"/>
  <c r="K7" i="16"/>
  <c r="M6" i="16"/>
  <c r="J6" i="16"/>
  <c r="D6" i="16"/>
  <c r="F6" i="16" s="1"/>
  <c r="G6" i="16" s="1"/>
  <c r="M5" i="16"/>
  <c r="D5" i="16"/>
  <c r="F5" i="16" s="1"/>
  <c r="G5" i="16" s="1"/>
  <c r="AC4" i="16"/>
  <c r="AC15" i="16"/>
  <c r="AG15" i="16" s="1"/>
  <c r="N2" i="16"/>
  <c r="J2" i="16"/>
  <c r="I2" i="16"/>
  <c r="AZ5" i="16" l="1"/>
  <c r="AR37" i="16"/>
  <c r="AR38" i="16" s="1"/>
  <c r="AB22" i="16"/>
  <c r="AC22" i="16" s="1"/>
  <c r="AG22" i="16" s="1"/>
  <c r="AD22" i="16"/>
  <c r="AB21" i="16"/>
  <c r="AC21" i="16" s="1"/>
  <c r="AG21" i="16" s="1"/>
  <c r="AD21" i="16"/>
  <c r="AB26" i="16"/>
  <c r="AC26" i="16" s="1"/>
  <c r="AG26" i="16" s="1"/>
  <c r="AD26" i="16"/>
  <c r="AB13" i="16"/>
  <c r="AC13" i="16" s="1"/>
  <c r="AG13" i="16" s="1"/>
  <c r="AD13" i="16"/>
  <c r="AB25" i="16"/>
  <c r="AC25" i="16" s="1"/>
  <c r="AG25" i="16" s="1"/>
  <c r="AD25" i="16"/>
  <c r="AB11" i="16"/>
  <c r="AC11" i="16" s="1"/>
  <c r="AG11" i="16" s="1"/>
  <c r="AD11" i="16"/>
  <c r="AB27" i="16"/>
  <c r="AC27" i="16" s="1"/>
  <c r="AG27" i="16" s="1"/>
  <c r="AD27" i="16"/>
  <c r="AB33" i="16"/>
  <c r="AC33" i="16" s="1"/>
  <c r="AD33" i="16"/>
  <c r="AB17" i="16"/>
  <c r="AC17" i="16" s="1"/>
  <c r="AG17" i="16" s="1"/>
  <c r="AD17" i="16"/>
  <c r="AB34" i="16"/>
  <c r="AC34" i="16" s="1"/>
  <c r="AD34" i="16"/>
  <c r="AB16" i="16"/>
  <c r="AC16" i="16" s="1"/>
  <c r="AG16" i="16" s="1"/>
  <c r="AD16" i="16"/>
  <c r="AB28" i="16"/>
  <c r="AC28" i="16" s="1"/>
  <c r="AG28" i="16" s="1"/>
  <c r="AB30" i="16"/>
  <c r="AC30" i="16" s="1"/>
  <c r="E7" i="16"/>
  <c r="E35" i="16" s="1"/>
  <c r="E36" i="16" s="1"/>
  <c r="AD8" i="16"/>
  <c r="AB20" i="16"/>
  <c r="AC20" i="16" s="1"/>
  <c r="AG20" i="16" s="1"/>
  <c r="AB19" i="16"/>
  <c r="AC19" i="16" s="1"/>
  <c r="AG19" i="16" s="1"/>
  <c r="AC32" i="16"/>
  <c r="J5" i="16"/>
  <c r="T5" i="16"/>
  <c r="AC10" i="16"/>
  <c r="AG10" i="16" s="1"/>
  <c r="AC18" i="16"/>
  <c r="AG18" i="16" s="1"/>
  <c r="AG29" i="16"/>
  <c r="AC9" i="16"/>
  <c r="AG9" i="16" s="1"/>
  <c r="AC12" i="16"/>
  <c r="AG12" i="16" s="1"/>
  <c r="AC23" i="16"/>
  <c r="AG23" i="16" s="1"/>
  <c r="AC31" i="16"/>
  <c r="AC14" i="16"/>
  <c r="AG14" i="16" s="1"/>
  <c r="BF5" i="16" l="1"/>
  <c r="AZ6" i="16" s="1"/>
  <c r="BE5" i="16"/>
  <c r="BA5" i="16" s="1"/>
  <c r="AR39" i="16"/>
  <c r="X35" i="16"/>
  <c r="AB7" i="16"/>
  <c r="AC7" i="16" s="1"/>
  <c r="AG7" i="16" s="1"/>
  <c r="AD7" i="16"/>
  <c r="AB6" i="16"/>
  <c r="AC6" i="16" s="1"/>
  <c r="AG6" i="16" s="1"/>
  <c r="AD6" i="16"/>
  <c r="AB5" i="16"/>
  <c r="AC5" i="16" s="1"/>
  <c r="AD5" i="16"/>
  <c r="D35" i="16"/>
  <c r="B35" i="16" s="1"/>
  <c r="AB8" i="16"/>
  <c r="AC8" i="16" s="1"/>
  <c r="AG8" i="16" s="1"/>
  <c r="G7" i="16"/>
  <c r="U5" i="16"/>
  <c r="U6" i="16" s="1"/>
  <c r="BF6" i="16" l="1"/>
  <c r="AZ7" i="16" s="1"/>
  <c r="BE6" i="16"/>
  <c r="BA6" i="16" s="1"/>
  <c r="AE5" i="16"/>
  <c r="AJ5" i="16" s="1"/>
  <c r="AF5" i="16" s="1"/>
  <c r="X37" i="16"/>
  <c r="X38" i="16" s="1"/>
  <c r="I5" i="16"/>
  <c r="N5" i="16" s="1"/>
  <c r="I6" i="16" s="1"/>
  <c r="N6" i="16" s="1"/>
  <c r="AG5" i="16"/>
  <c r="G35" i="16"/>
  <c r="B36" i="16"/>
  <c r="B39" i="16" s="1"/>
  <c r="J7" i="16"/>
  <c r="B37" i="16" s="1"/>
  <c r="BF7" i="16" l="1"/>
  <c r="AZ8" i="16" s="1"/>
  <c r="BE7" i="16"/>
  <c r="BA7" i="16" s="1"/>
  <c r="AK5" i="16"/>
  <c r="AE6" i="16" s="1"/>
  <c r="X39" i="16"/>
  <c r="B38" i="16"/>
  <c r="B40" i="16" s="1"/>
  <c r="BF8" i="16" l="1"/>
  <c r="AZ9" i="16" s="1"/>
  <c r="BE8" i="16"/>
  <c r="BA8" i="16" s="1"/>
  <c r="AK6" i="16"/>
  <c r="AE7" i="16" s="1"/>
  <c r="AJ6" i="16"/>
  <c r="AF6" i="16" s="1"/>
  <c r="BE9" i="16" l="1"/>
  <c r="BA9" i="16" s="1"/>
  <c r="BF9" i="16"/>
  <c r="AZ10" i="16" s="1"/>
  <c r="AK7" i="16"/>
  <c r="AE8" i="16" s="1"/>
  <c r="AJ7" i="16"/>
  <c r="AF7" i="16" s="1"/>
  <c r="BF10" i="16" l="1"/>
  <c r="AZ11" i="16" s="1"/>
  <c r="BE10" i="16"/>
  <c r="BA10" i="16" s="1"/>
  <c r="AK8" i="16"/>
  <c r="AE9" i="16" s="1"/>
  <c r="AJ8" i="16"/>
  <c r="AF8" i="16" s="1"/>
  <c r="BF11" i="16" l="1"/>
  <c r="AZ12" i="16" s="1"/>
  <c r="BE11" i="16"/>
  <c r="BA11" i="16" s="1"/>
  <c r="AK9" i="16"/>
  <c r="AE10" i="16" s="1"/>
  <c r="AJ9" i="16"/>
  <c r="AF9" i="16" s="1"/>
  <c r="BE12" i="16" l="1"/>
  <c r="BA12" i="16" s="1"/>
  <c r="BF12" i="16"/>
  <c r="AZ13" i="16" s="1"/>
  <c r="AK10" i="16"/>
  <c r="AE11" i="16" s="1"/>
  <c r="AJ10" i="16"/>
  <c r="AF10" i="16" s="1"/>
  <c r="H5" i="16"/>
  <c r="H6" i="16" s="1"/>
  <c r="BF13" i="16" l="1"/>
  <c r="AZ14" i="16" s="1"/>
  <c r="BE13" i="16"/>
  <c r="BA13" i="16" s="1"/>
  <c r="AJ11" i="16"/>
  <c r="AF11" i="16" s="1"/>
  <c r="AK11" i="16"/>
  <c r="AE12" i="16" s="1"/>
  <c r="BF14" i="16" l="1"/>
  <c r="AZ15" i="16" s="1"/>
  <c r="BE14" i="16"/>
  <c r="BA14" i="16" s="1"/>
  <c r="AK12" i="16"/>
  <c r="AE13" i="16" s="1"/>
  <c r="AJ12" i="16"/>
  <c r="AF12" i="16" s="1"/>
  <c r="BF15" i="16" l="1"/>
  <c r="AZ16" i="16" s="1"/>
  <c r="BE15" i="16"/>
  <c r="BA15" i="16" s="1"/>
  <c r="AJ13" i="16"/>
  <c r="AF13" i="16" s="1"/>
  <c r="AK13" i="16"/>
  <c r="AE14" i="16" s="1"/>
  <c r="BF16" i="16" l="1"/>
  <c r="AZ17" i="16" s="1"/>
  <c r="BE16" i="16"/>
  <c r="BA16" i="16" s="1"/>
  <c r="AJ14" i="16"/>
  <c r="AF14" i="16" s="1"/>
  <c r="AK14" i="16"/>
  <c r="AE15" i="16" s="1"/>
  <c r="BF17" i="16" l="1"/>
  <c r="AZ18" i="16" s="1"/>
  <c r="BE17" i="16"/>
  <c r="BA17" i="16" s="1"/>
  <c r="AK15" i="16"/>
  <c r="AE16" i="16" s="1"/>
  <c r="AJ15" i="16"/>
  <c r="AF15" i="16" s="1"/>
  <c r="BF18" i="16" l="1"/>
  <c r="AZ19" i="16" s="1"/>
  <c r="BE18" i="16"/>
  <c r="BA18" i="16" s="1"/>
  <c r="AK16" i="16"/>
  <c r="AE17" i="16" s="1"/>
  <c r="AJ16" i="16"/>
  <c r="AF16" i="16" s="1"/>
  <c r="BF19" i="16" l="1"/>
  <c r="AZ20" i="16" s="1"/>
  <c r="BE19" i="16"/>
  <c r="BA19" i="16" s="1"/>
  <c r="AK17" i="16"/>
  <c r="AE18" i="16" s="1"/>
  <c r="AJ17" i="16"/>
  <c r="AF17" i="16" s="1"/>
  <c r="BF20" i="16" l="1"/>
  <c r="AZ21" i="16" s="1"/>
  <c r="BE20" i="16"/>
  <c r="BA20" i="16" s="1"/>
  <c r="AK18" i="16"/>
  <c r="AE19" i="16" s="1"/>
  <c r="AJ18" i="16"/>
  <c r="AF18" i="16" s="1"/>
  <c r="BF21" i="16" l="1"/>
  <c r="AZ22" i="16" s="1"/>
  <c r="BE21" i="16"/>
  <c r="BA21" i="16" s="1"/>
  <c r="AJ19" i="16"/>
  <c r="AF19" i="16" s="1"/>
  <c r="AK19" i="16"/>
  <c r="AE20" i="16" s="1"/>
  <c r="BF22" i="16" l="1"/>
  <c r="AZ23" i="16" s="1"/>
  <c r="BE22" i="16"/>
  <c r="BA22" i="16" s="1"/>
  <c r="AK20" i="16"/>
  <c r="AE21" i="16" s="1"/>
  <c r="AJ20" i="16"/>
  <c r="AF20" i="16" s="1"/>
  <c r="BF23" i="16" l="1"/>
  <c r="AZ24" i="16" s="1"/>
  <c r="BE23" i="16"/>
  <c r="BA23" i="16" s="1"/>
  <c r="AK21" i="16"/>
  <c r="AE22" i="16" s="1"/>
  <c r="AJ21" i="16"/>
  <c r="AF21" i="16" s="1"/>
  <c r="BF24" i="16" l="1"/>
  <c r="AZ25" i="16" s="1"/>
  <c r="BE24" i="16"/>
  <c r="BA24" i="16" s="1"/>
  <c r="AJ22" i="16"/>
  <c r="AF22" i="16" s="1"/>
  <c r="AK22" i="16"/>
  <c r="AE23" i="16" s="1"/>
  <c r="BF25" i="16" l="1"/>
  <c r="AZ26" i="16" s="1"/>
  <c r="BE25" i="16"/>
  <c r="BA25" i="16" s="1"/>
  <c r="AK23" i="16"/>
  <c r="AE24" i="16" s="1"/>
  <c r="AJ23" i="16"/>
  <c r="AF23" i="16" s="1"/>
  <c r="BF26" i="16" l="1"/>
  <c r="AZ27" i="16" s="1"/>
  <c r="BE26" i="16"/>
  <c r="BA26" i="16" s="1"/>
  <c r="AK24" i="16"/>
  <c r="AE25" i="16" s="1"/>
  <c r="AJ24" i="16"/>
  <c r="AF24" i="16" s="1"/>
  <c r="BF27" i="16" l="1"/>
  <c r="AZ28" i="16" s="1"/>
  <c r="BE27" i="16"/>
  <c r="BA27" i="16" s="1"/>
  <c r="AK25" i="16"/>
  <c r="AE26" i="16" s="1"/>
  <c r="AJ25" i="16"/>
  <c r="AF25" i="16" s="1"/>
  <c r="BF28" i="16" l="1"/>
  <c r="AZ29" i="16" s="1"/>
  <c r="BE28" i="16"/>
  <c r="BA28" i="16" s="1"/>
  <c r="AK26" i="16"/>
  <c r="AE27" i="16" s="1"/>
  <c r="AJ26" i="16"/>
  <c r="AF26" i="16" s="1"/>
  <c r="BF29" i="16" l="1"/>
  <c r="AZ30" i="16" s="1"/>
  <c r="BE29" i="16"/>
  <c r="BA29" i="16" s="1"/>
  <c r="AJ27" i="16"/>
  <c r="AF27" i="16" s="1"/>
  <c r="AK27" i="16"/>
  <c r="AE28" i="16" s="1"/>
  <c r="BF30" i="16" l="1"/>
  <c r="AZ31" i="16" s="1"/>
  <c r="BE30" i="16"/>
  <c r="BA30" i="16" s="1"/>
  <c r="AK28" i="16"/>
  <c r="AE29" i="16" s="1"/>
  <c r="AJ28" i="16"/>
  <c r="AF28" i="16" s="1"/>
  <c r="BF31" i="16" l="1"/>
  <c r="AZ32" i="16" s="1"/>
  <c r="BE31" i="16"/>
  <c r="BA31" i="16" s="1"/>
  <c r="AJ29" i="16"/>
  <c r="AF29" i="16" s="1"/>
  <c r="AK29" i="16"/>
  <c r="AE30" i="16" s="1"/>
  <c r="BF32" i="16" l="1"/>
  <c r="AZ33" i="16" s="1"/>
  <c r="BE32" i="16"/>
  <c r="BA32" i="16" s="1"/>
  <c r="AJ30" i="16"/>
  <c r="AF30" i="16" s="1"/>
  <c r="AK30" i="16"/>
  <c r="AE31" i="16" s="1"/>
  <c r="BF33" i="16" l="1"/>
  <c r="AZ34" i="16" s="1"/>
  <c r="BE33" i="16"/>
  <c r="BA33" i="16" s="1"/>
  <c r="AK31" i="16"/>
  <c r="AE32" i="16" s="1"/>
  <c r="AJ31" i="16"/>
  <c r="AF31" i="16" s="1"/>
  <c r="BF34" i="16" l="1"/>
  <c r="BE34" i="16"/>
  <c r="BA34" i="16" s="1"/>
  <c r="AK32" i="16"/>
  <c r="AE33" i="16" s="1"/>
  <c r="AJ32" i="16"/>
  <c r="AF32" i="16" s="1"/>
  <c r="AJ33" i="16" l="1"/>
  <c r="AF33" i="16" s="1"/>
  <c r="AK33" i="16"/>
  <c r="AE34" i="16" s="1"/>
  <c r="AK34" i="16" l="1"/>
  <c r="AJ34" i="16"/>
  <c r="AF34" i="16" s="1"/>
</calcChain>
</file>

<file path=xl/sharedStrings.xml><?xml version="1.0" encoding="utf-8"?>
<sst xmlns="http://schemas.openxmlformats.org/spreadsheetml/2006/main" count="197" uniqueCount="112">
  <si>
    <t>lieu</t>
  </si>
  <si>
    <t>Rawlins</t>
  </si>
  <si>
    <t>heures</t>
  </si>
  <si>
    <t>jours</t>
  </si>
  <si>
    <t>départ</t>
  </si>
  <si>
    <t>arrivée</t>
  </si>
  <si>
    <t>miles</t>
  </si>
  <si>
    <t>post</t>
  </si>
  <si>
    <t>bouffe</t>
  </si>
  <si>
    <t>serv</t>
  </si>
  <si>
    <t>Km/h</t>
  </si>
  <si>
    <t>h/j</t>
  </si>
  <si>
    <t>M/h</t>
  </si>
  <si>
    <t>trail</t>
  </si>
  <si>
    <t>H R Sp</t>
  </si>
  <si>
    <t>emplac</t>
  </si>
  <si>
    <t>BC ml</t>
  </si>
  <si>
    <t>deniv</t>
  </si>
  <si>
    <t>H R Gr</t>
  </si>
  <si>
    <t>P Dr</t>
  </si>
  <si>
    <t>L D Atm Ord</t>
  </si>
  <si>
    <t>gaz J</t>
  </si>
  <si>
    <t>J cumul</t>
  </si>
  <si>
    <t>Encampment</t>
  </si>
  <si>
    <t>15 H</t>
  </si>
  <si>
    <t>total jours</t>
  </si>
  <si>
    <t>303/ml</t>
  </si>
  <si>
    <t>ft</t>
  </si>
  <si>
    <t>ml</t>
  </si>
  <si>
    <t>KM</t>
  </si>
  <si>
    <t>Ft/ml</t>
  </si>
  <si>
    <t>moyenne Ml J/marche</t>
  </si>
  <si>
    <t>moyenne Km J marche</t>
  </si>
  <si>
    <t>moyenne Km TC</t>
  </si>
  <si>
    <t>moyenne Ml TC</t>
  </si>
  <si>
    <t>Ft/h</t>
  </si>
  <si>
    <t>m/Km</t>
  </si>
  <si>
    <t>m/h</t>
  </si>
  <si>
    <t>nb j</t>
  </si>
  <si>
    <t>Rp</t>
  </si>
  <si>
    <t>m</t>
  </si>
  <si>
    <t>achats sur place</t>
  </si>
  <si>
    <t>collecte boite</t>
  </si>
  <si>
    <t>mod</t>
  </si>
  <si>
    <t>bof</t>
  </si>
  <si>
    <t>Né</t>
  </si>
  <si>
    <t>Zé</t>
  </si>
  <si>
    <t>CDT - plan de marche</t>
  </si>
  <si>
    <t>Départ</t>
  </si>
  <si>
    <t>G</t>
  </si>
  <si>
    <r>
      <t xml:space="preserve">D Atm Ord   </t>
    </r>
    <r>
      <rPr>
        <b/>
        <sz val="10"/>
        <color rgb="FFFF0000"/>
        <rFont val="Arial"/>
        <family val="2"/>
      </rPr>
      <t xml:space="preserve">USPS </t>
    </r>
  </si>
  <si>
    <t>Jr</t>
  </si>
  <si>
    <t>Prévu</t>
  </si>
  <si>
    <t>Km</t>
  </si>
  <si>
    <t>Jr réels</t>
  </si>
  <si>
    <t>M/km</t>
  </si>
  <si>
    <t>D</t>
  </si>
  <si>
    <t>L</t>
  </si>
  <si>
    <t>Ma</t>
  </si>
  <si>
    <t>Me</t>
  </si>
  <si>
    <t>J</t>
  </si>
  <si>
    <t>V</t>
  </si>
  <si>
    <t>S</t>
  </si>
  <si>
    <t xml:space="preserve"> +/-</t>
  </si>
  <si>
    <t>services</t>
  </si>
  <si>
    <t>distance totale</t>
  </si>
  <si>
    <t>dénivelé total</t>
  </si>
  <si>
    <t>jours de marche réelle</t>
  </si>
  <si>
    <t>jours de marche avec "néros"</t>
  </si>
  <si>
    <t>durée totale de la marche</t>
  </si>
  <si>
    <t>nombre de néros</t>
  </si>
  <si>
    <t>nombre de zéros</t>
  </si>
  <si>
    <t>étape 1</t>
  </si>
  <si>
    <t>étape 2</t>
  </si>
  <si>
    <t>étape 3</t>
  </si>
  <si>
    <t>étape 4</t>
  </si>
  <si>
    <t>étape 5</t>
  </si>
  <si>
    <t>étape 6</t>
  </si>
  <si>
    <t>étape 7</t>
  </si>
  <si>
    <t>étape 8</t>
  </si>
  <si>
    <t>étape 9</t>
  </si>
  <si>
    <t>étape 10</t>
  </si>
  <si>
    <t>étape 11</t>
  </si>
  <si>
    <t>étape 12</t>
  </si>
  <si>
    <t>étape 13</t>
  </si>
  <si>
    <t>étape 14</t>
  </si>
  <si>
    <t>étape 15</t>
  </si>
  <si>
    <t>étape 16</t>
  </si>
  <si>
    <t>étape 17</t>
  </si>
  <si>
    <t>étape 18</t>
  </si>
  <si>
    <t>étape 19</t>
  </si>
  <si>
    <t>étape 20</t>
  </si>
  <si>
    <t>étape 21</t>
  </si>
  <si>
    <t>étape 22</t>
  </si>
  <si>
    <t>étape 23</t>
  </si>
  <si>
    <t>étape 24</t>
  </si>
  <si>
    <t>étape 25</t>
  </si>
  <si>
    <t>étape 26</t>
  </si>
  <si>
    <t>étape 27</t>
  </si>
  <si>
    <t>étape 28</t>
  </si>
  <si>
    <t>étape 29</t>
  </si>
  <si>
    <t>étape 30</t>
  </si>
  <si>
    <t>jr</t>
  </si>
  <si>
    <t>nb</t>
  </si>
  <si>
    <t xml:space="preserve"> Plan de marche A</t>
  </si>
  <si>
    <t xml:space="preserve"> Plan de marche B</t>
  </si>
  <si>
    <t>Km de l'étape</t>
  </si>
  <si>
    <t>Montée/km</t>
  </si>
  <si>
    <t>reste</t>
  </si>
  <si>
    <t>cumul Km</t>
  </si>
  <si>
    <t>Cumul Km</t>
  </si>
  <si>
    <t>code de dévérouillage :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</si>
</sst>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C]d\-mmm;@"/>
    <numFmt numFmtId="165" formatCode="0.0"/>
    <numFmt numFmtId="166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0" borderId="1" xfId="0" applyBorder="1"/>
    <xf numFmtId="0" fontId="0" fillId="0" borderId="0" xfId="0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3" fontId="0" fillId="0" borderId="0" xfId="0" applyNumberFormat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 applyBorder="1"/>
    <xf numFmtId="3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/>
    <xf numFmtId="165" fontId="5" fillId="0" borderId="0" xfId="0" applyNumberFormat="1" applyFont="1"/>
    <xf numFmtId="165" fontId="5" fillId="0" borderId="1" xfId="0" applyNumberFormat="1" applyFont="1" applyBorder="1"/>
    <xf numFmtId="165" fontId="5" fillId="0" borderId="3" xfId="0" applyNumberFormat="1" applyFont="1" applyBorder="1"/>
    <xf numFmtId="165" fontId="5" fillId="0" borderId="0" xfId="0" applyNumberFormat="1" applyFont="1" applyBorder="1"/>
    <xf numFmtId="1" fontId="4" fillId="0" borderId="0" xfId="0" applyNumberFormat="1" applyFont="1" applyBorder="1"/>
    <xf numFmtId="165" fontId="6" fillId="0" borderId="1" xfId="0" applyNumberFormat="1" applyFont="1" applyBorder="1"/>
    <xf numFmtId="165" fontId="6" fillId="0" borderId="0" xfId="0" applyNumberFormat="1" applyFont="1" applyBorder="1"/>
    <xf numFmtId="0" fontId="3" fillId="0" borderId="1" xfId="0" applyFont="1" applyBorder="1" applyAlignment="1">
      <alignment horizontal="center"/>
    </xf>
    <xf numFmtId="1" fontId="7" fillId="0" borderId="1" xfId="0" applyNumberFormat="1" applyFont="1" applyBorder="1"/>
    <xf numFmtId="1" fontId="4" fillId="0" borderId="0" xfId="0" applyNumberFormat="1" applyFont="1" applyAlignment="1">
      <alignment horizontal="center"/>
    </xf>
    <xf numFmtId="1" fontId="4" fillId="0" borderId="1" xfId="0" applyNumberFormat="1" applyFont="1" applyBorder="1"/>
    <xf numFmtId="1" fontId="4" fillId="0" borderId="3" xfId="0" applyNumberFormat="1" applyFont="1" applyBorder="1"/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4" fillId="0" borderId="1" xfId="0" applyFont="1" applyBorder="1"/>
    <xf numFmtId="3" fontId="4" fillId="0" borderId="1" xfId="0" applyNumberFormat="1" applyFont="1" applyBorder="1"/>
    <xf numFmtId="165" fontId="4" fillId="0" borderId="1" xfId="0" applyNumberFormat="1" applyFont="1" applyBorder="1"/>
    <xf numFmtId="0" fontId="4" fillId="2" borderId="1" xfId="0" applyFont="1" applyFill="1" applyBorder="1"/>
    <xf numFmtId="0" fontId="4" fillId="3" borderId="1" xfId="0" applyFont="1" applyFill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0" xfId="0" applyFont="1" applyBorder="1"/>
    <xf numFmtId="3" fontId="4" fillId="0" borderId="0" xfId="0" applyNumberFormat="1" applyFont="1" applyBorder="1"/>
    <xf numFmtId="165" fontId="4" fillId="0" borderId="0" xfId="0" applyNumberFormat="1" applyFont="1" applyBorder="1"/>
    <xf numFmtId="0" fontId="4" fillId="0" borderId="5" xfId="0" applyFont="1" applyFill="1" applyBorder="1"/>
    <xf numFmtId="1" fontId="7" fillId="0" borderId="0" xfId="0" applyNumberFormat="1" applyFont="1" applyAlignment="1">
      <alignment horizontal="center"/>
    </xf>
    <xf numFmtId="1" fontId="7" fillId="0" borderId="3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/>
    <xf numFmtId="1" fontId="0" fillId="0" borderId="0" xfId="0" applyNumberFormat="1" applyBorder="1"/>
    <xf numFmtId="1" fontId="0" fillId="0" borderId="0" xfId="0" applyNumberFormat="1"/>
    <xf numFmtId="1" fontId="7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4" fontId="0" fillId="0" borderId="0" xfId="0" applyNumberFormat="1"/>
    <xf numFmtId="3" fontId="8" fillId="0" borderId="0" xfId="0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1" xfId="0" applyFont="1" applyBorder="1"/>
    <xf numFmtId="165" fontId="8" fillId="0" borderId="1" xfId="0" applyNumberFormat="1" applyFont="1" applyBorder="1"/>
    <xf numFmtId="3" fontId="9" fillId="0" borderId="1" xfId="0" applyNumberFormat="1" applyFont="1" applyBorder="1"/>
    <xf numFmtId="3" fontId="8" fillId="0" borderId="3" xfId="0" applyNumberFormat="1" applyFont="1" applyBorder="1"/>
    <xf numFmtId="0" fontId="8" fillId="0" borderId="3" xfId="0" applyFont="1" applyBorder="1"/>
    <xf numFmtId="165" fontId="8" fillId="0" borderId="3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165" fontId="3" fillId="0" borderId="0" xfId="0" applyNumberFormat="1" applyFont="1" applyAlignment="1">
      <alignment horizontal="left"/>
    </xf>
    <xf numFmtId="165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164" fontId="4" fillId="0" borderId="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2" fontId="4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16" fontId="4" fillId="0" borderId="0" xfId="0" applyNumberFormat="1" applyFont="1" applyBorder="1" applyAlignment="1">
      <alignment horizontal="left"/>
    </xf>
    <xf numFmtId="16" fontId="0" fillId="0" borderId="0" xfId="0" applyNumberFormat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1" xfId="0" applyFont="1" applyBorder="1"/>
    <xf numFmtId="0" fontId="6" fillId="0" borderId="1" xfId="0" applyFont="1" applyFill="1" applyBorder="1"/>
    <xf numFmtId="3" fontId="6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3" fontId="9" fillId="0" borderId="3" xfId="0" applyNumberFormat="1" applyFont="1" applyBorder="1"/>
    <xf numFmtId="1" fontId="3" fillId="0" borderId="3" xfId="0" applyNumberFormat="1" applyFont="1" applyBorder="1" applyAlignment="1">
      <alignment horizontal="left"/>
    </xf>
    <xf numFmtId="3" fontId="6" fillId="0" borderId="1" xfId="0" applyNumberFormat="1" applyFont="1" applyFill="1" applyBorder="1"/>
    <xf numFmtId="165" fontId="6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left"/>
    </xf>
    <xf numFmtId="3" fontId="3" fillId="0" borderId="0" xfId="0" applyNumberFormat="1" applyFont="1" applyBorder="1"/>
    <xf numFmtId="0" fontId="3" fillId="0" borderId="0" xfId="0" applyFont="1" applyFill="1"/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4" borderId="9" xfId="0" applyFill="1" applyBorder="1"/>
    <xf numFmtId="0" fontId="6" fillId="0" borderId="0" xfId="0" applyFont="1" applyBorder="1"/>
    <xf numFmtId="3" fontId="6" fillId="0" borderId="0" xfId="0" applyNumberFormat="1" applyFont="1" applyBorder="1"/>
    <xf numFmtId="1" fontId="11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12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center"/>
    </xf>
    <xf numFmtId="166" fontId="0" fillId="0" borderId="1" xfId="0" applyNumberFormat="1" applyBorder="1"/>
    <xf numFmtId="3" fontId="3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165" fontId="6" fillId="0" borderId="4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0" fillId="0" borderId="1" xfId="0" applyNumberForma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0" fillId="0" borderId="0" xfId="0" applyFill="1"/>
    <xf numFmtId="3" fontId="3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Protection="1">
      <protection locked="0"/>
    </xf>
    <xf numFmtId="3" fontId="6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165" fontId="6" fillId="0" borderId="1" xfId="0" applyNumberFormat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</cellXfs>
  <cellStyles count="2">
    <cellStyle name="Normal" xfId="0" builtinId="0"/>
    <cellStyle name="Normal 2" xfId="1" xr:uid="{00000000-0005-0000-0000-000001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19050</xdr:colOff>
      <xdr:row>35</xdr:row>
      <xdr:rowOff>104775</xdr:rowOff>
    </xdr:from>
    <xdr:to>
      <xdr:col>39</xdr:col>
      <xdr:colOff>0</xdr:colOff>
      <xdr:row>67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8EB0FD6-F0F5-4C63-92F9-A91BB0FF5DCA}"/>
            </a:ext>
          </a:extLst>
        </xdr:cNvPr>
        <xdr:cNvSpPr txBox="1"/>
      </xdr:nvSpPr>
      <xdr:spPr>
        <a:xfrm>
          <a:off x="3190875" y="6086475"/>
          <a:ext cx="5343525" cy="5286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 plan de marche A supose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 vous inscriviez pour chaque étape de un à plusieurs jours </a:t>
          </a:r>
          <a:r>
            <a:rPr lang="fr-FR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distance cumulée depuis le début</a:t>
          </a:r>
          <a:r>
            <a:rPr lang="fr-FR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(borne). Si vous souhaitez inscrire le nombre de kilomètres de chaque étape, utimlisez le plande marche B.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l'utiliser ces plans, il faut remplir uniquement les cases en jaune.</a:t>
          </a: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Commencer par indiquer dans les cases jaunes du haut sa vitesse moyenne à plat (entre 3 et 6 Km/h), le nombre d'heures de marche effectivement par jour et combien de mètres de dénivelés vous faites en une heure (entre 200 et 500).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Ensuite, il faut remplir à la première ligne l'étape de départ, un kilométrage (n'importe lequel, par exemple 0) et la date de départ.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Puis, ligne par ligne, il s'agit d'inscrire l'étape d'arrivée avec le kilométrage par rapport à la ligne de départ (plan de marche A) ou bien le kilométrage de l'étape (plan de mar'che B), dans la colonne "+/-" les éventuels détours ou raccourcis et dans la colonne "déniv" le dénivelé en montée de l'étape en mètres. Enfin, dans la colonne "Né" (néro, comme presque zéro) marquer 1 si on veut s'arrêter pour la nuit à l'étape de ravitaillement (rien dans le cas contraire) et, dans la case "Zé" (zéro= pas de marche),  1 ou plus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 on souhaite faire des jours complets de repos à cet endroit. Ces deux colonnes se colorent en vert si on y inscrit quelque chose.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feuille vous indique alors le nombre de kilomètres les heures de marche pour arriver à cette étape, le nombre de jours de marche, la moyenne de mètres montés par kilomètre sur cette étape (montée/Km), la fraction de journée restant à l'arrivée à l'étape ravitaillement (reste) la date et le jour d'arrivée et la date de départ. Les colonnes suivantes peuvent être utilisées pour inscrire des notes sur l'étape (magasins, poste, transports, hébergements...).</a:t>
          </a:r>
        </a:p>
        <a:p>
          <a:endParaRPr lang="fr-F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Notez que le site www.sahibvoyageur vous propose des feuilles de route spécifiques et pré remplies pour le PCT et le CDT.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50"/>
  <sheetViews>
    <sheetView showGridLines="0" tabSelected="1" topLeftCell="V1" workbookViewId="0">
      <pane ySplit="3" topLeftCell="A4" activePane="bottomLeft" state="frozen"/>
      <selection activeCell="V1" sqref="V1"/>
      <selection pane="bottomLeft" activeCell="BB35" sqref="BB35"/>
    </sheetView>
  </sheetViews>
  <sheetFormatPr baseColWidth="10" defaultColWidth="11.42578125" defaultRowHeight="12.75" x14ac:dyDescent="0.2"/>
  <cols>
    <col min="1" max="1" width="22.5703125" hidden="1" customWidth="1"/>
    <col min="2" max="2" width="6.140625" style="7" hidden="1" customWidth="1"/>
    <col min="3" max="3" width="4" hidden="1" customWidth="1"/>
    <col min="4" max="4" width="5" hidden="1" customWidth="1"/>
    <col min="5" max="5" width="7.28515625" style="7" hidden="1" customWidth="1"/>
    <col min="6" max="6" width="4.5703125" hidden="1" customWidth="1"/>
    <col min="7" max="7" width="8.140625" style="71" hidden="1" customWidth="1"/>
    <col min="8" max="8" width="3.42578125" style="46" hidden="1" customWidth="1"/>
    <col min="9" max="9" width="11.7109375" style="84" hidden="1" customWidth="1"/>
    <col min="10" max="10" width="5.28515625" hidden="1" customWidth="1"/>
    <col min="11" max="11" width="3" hidden="1" customWidth="1"/>
    <col min="12" max="12" width="2.42578125" hidden="1" customWidth="1"/>
    <col min="13" max="13" width="3.28515625" style="48" hidden="1" customWidth="1"/>
    <col min="14" max="14" width="12.28515625" style="77" hidden="1" customWidth="1"/>
    <col min="15" max="15" width="7.85546875" hidden="1" customWidth="1"/>
    <col min="16" max="16" width="6" hidden="1" customWidth="1"/>
    <col min="17" max="17" width="7.85546875" hidden="1" customWidth="1"/>
    <col min="18" max="18" width="16.42578125" hidden="1" customWidth="1"/>
    <col min="19" max="19" width="3.140625" hidden="1" customWidth="1"/>
    <col min="20" max="20" width="4.85546875" hidden="1" customWidth="1"/>
    <col min="21" max="21" width="8.140625" style="6" hidden="1" customWidth="1"/>
    <col min="22" max="22" width="2" customWidth="1"/>
    <col min="23" max="23" width="26.85546875" customWidth="1"/>
    <col min="24" max="24" width="7.42578125" customWidth="1"/>
    <col min="25" max="25" width="4.85546875" customWidth="1"/>
    <col min="26" max="26" width="6.42578125" customWidth="1"/>
    <col min="27" max="27" width="6.85546875" customWidth="1"/>
    <col min="28" max="28" width="6.5703125" customWidth="1"/>
    <col min="29" max="29" width="7.5703125" style="130" customWidth="1"/>
    <col min="30" max="30" width="8.42578125" customWidth="1"/>
    <col min="31" max="31" width="7.42578125" customWidth="1"/>
    <col min="32" max="32" width="4.42578125" customWidth="1"/>
    <col min="33" max="33" width="5.85546875" customWidth="1"/>
    <col min="34" max="35" width="3.140625" customWidth="1"/>
    <col min="36" max="36" width="3.140625" hidden="1" customWidth="1"/>
    <col min="37" max="37" width="8" customWidth="1"/>
    <col min="38" max="38" width="6.85546875" customWidth="1"/>
    <col min="39" max="39" width="12.5703125" customWidth="1"/>
    <col min="40" max="40" width="3.5703125" customWidth="1"/>
    <col min="41" max="41" width="4.85546875" customWidth="1"/>
    <col min="42" max="42" width="3.5703125" customWidth="1"/>
    <col min="43" max="43" width="33.140625" customWidth="1"/>
    <col min="44" max="44" width="8.85546875" customWidth="1"/>
    <col min="45" max="45" width="5.28515625" customWidth="1"/>
    <col min="46" max="46" width="6.140625" customWidth="1"/>
    <col min="47" max="47" width="7.140625" customWidth="1"/>
    <col min="48" max="48" width="7.140625" style="143" customWidth="1"/>
    <col min="49" max="50" width="8.140625" customWidth="1"/>
    <col min="51" max="51" width="7.42578125" customWidth="1"/>
    <col min="52" max="52" width="9.28515625" customWidth="1"/>
    <col min="53" max="53" width="4.42578125" customWidth="1"/>
    <col min="54" max="54" width="5.7109375" customWidth="1"/>
    <col min="55" max="55" width="3.7109375" customWidth="1"/>
    <col min="56" max="56" width="3.140625" bestFit="1" customWidth="1"/>
    <col min="57" max="57" width="3.42578125" hidden="1" customWidth="1"/>
    <col min="58" max="58" width="9.140625" customWidth="1"/>
    <col min="59" max="59" width="8.28515625" customWidth="1"/>
    <col min="61" max="62" width="4.28515625" customWidth="1"/>
  </cols>
  <sheetData>
    <row r="1" spans="1:62" ht="20.25" x14ac:dyDescent="0.3">
      <c r="A1" s="91" t="s">
        <v>47</v>
      </c>
      <c r="B1" s="54"/>
      <c r="C1" s="55"/>
      <c r="D1" s="56" t="s">
        <v>35</v>
      </c>
      <c r="E1" s="57" t="s">
        <v>30</v>
      </c>
      <c r="F1" s="58" t="s">
        <v>12</v>
      </c>
      <c r="G1" s="71" t="s">
        <v>11</v>
      </c>
      <c r="H1" s="43"/>
      <c r="I1" s="78" t="s">
        <v>10</v>
      </c>
      <c r="J1" s="29" t="s">
        <v>37</v>
      </c>
      <c r="K1" s="29"/>
      <c r="L1" s="29"/>
      <c r="M1" s="26"/>
      <c r="N1" s="76" t="s">
        <v>36</v>
      </c>
      <c r="O1" s="16"/>
      <c r="P1" s="30"/>
      <c r="Q1" s="16" t="s">
        <v>41</v>
      </c>
      <c r="R1" s="16"/>
      <c r="S1" s="16"/>
      <c r="T1" s="16"/>
      <c r="U1" s="17"/>
      <c r="W1" s="120" t="s">
        <v>104</v>
      </c>
      <c r="X1" s="7"/>
      <c r="Z1" s="102"/>
      <c r="AA1" s="13"/>
      <c r="AB1" s="115" t="s">
        <v>10</v>
      </c>
      <c r="AC1" s="116" t="s">
        <v>11</v>
      </c>
      <c r="AD1" s="115" t="s">
        <v>37</v>
      </c>
      <c r="AE1" s="14"/>
      <c r="AH1" s="3"/>
      <c r="AI1" s="3"/>
      <c r="AJ1" s="3"/>
      <c r="AK1" s="16"/>
      <c r="AL1" s="16"/>
      <c r="AM1" s="16"/>
      <c r="AQ1" s="135" t="s">
        <v>105</v>
      </c>
      <c r="AR1" s="7"/>
      <c r="AT1" s="102"/>
      <c r="AU1" s="13"/>
      <c r="AV1" s="138"/>
      <c r="AW1" s="115" t="s">
        <v>10</v>
      </c>
      <c r="AX1" s="116" t="s">
        <v>11</v>
      </c>
      <c r="AY1" s="115" t="s">
        <v>37</v>
      </c>
      <c r="AZ1" s="14"/>
      <c r="BC1" s="3"/>
      <c r="BD1" s="3"/>
      <c r="BE1" s="3"/>
      <c r="BF1" s="16"/>
      <c r="BG1" s="16"/>
      <c r="BH1" s="16"/>
    </row>
    <row r="2" spans="1:62" ht="15.75" thickBot="1" x14ac:dyDescent="0.25">
      <c r="A2" s="90" t="s">
        <v>52</v>
      </c>
      <c r="B2" s="54"/>
      <c r="C2" s="55"/>
      <c r="D2" s="56">
        <v>1312</v>
      </c>
      <c r="E2" s="57">
        <v>150</v>
      </c>
      <c r="F2" s="58">
        <v>2.5</v>
      </c>
      <c r="G2" s="71">
        <v>10</v>
      </c>
      <c r="H2" s="43"/>
      <c r="I2" s="79">
        <f>F2*F47</f>
        <v>4.0225</v>
      </c>
      <c r="J2" s="29">
        <f>D2/F46</f>
        <v>399.89758720327723</v>
      </c>
      <c r="K2" s="29"/>
      <c r="L2" s="29"/>
      <c r="M2" s="26"/>
      <c r="N2" s="76">
        <f>(E2/F46)/F47</f>
        <v>28.415163789285302</v>
      </c>
      <c r="O2" s="16"/>
      <c r="P2" s="31"/>
      <c r="Q2" s="16" t="s">
        <v>42</v>
      </c>
      <c r="R2" s="16"/>
      <c r="S2" s="16"/>
      <c r="T2" s="16"/>
      <c r="U2" s="17"/>
      <c r="W2" s="4" t="s">
        <v>111</v>
      </c>
      <c r="X2" s="7"/>
      <c r="Z2" s="102"/>
      <c r="AA2" s="13"/>
      <c r="AB2" s="147">
        <v>3.8</v>
      </c>
      <c r="AC2" s="148">
        <v>8</v>
      </c>
      <c r="AD2" s="147">
        <v>300</v>
      </c>
      <c r="AE2" s="15"/>
      <c r="AH2" s="3"/>
      <c r="AI2" s="3"/>
      <c r="AJ2" s="3"/>
      <c r="AL2" s="16"/>
      <c r="AM2" s="16"/>
      <c r="AQ2" s="4"/>
      <c r="AR2" s="7"/>
      <c r="AT2" s="102"/>
      <c r="AU2" s="13"/>
      <c r="AV2" s="138"/>
      <c r="AW2" s="147">
        <v>3.8</v>
      </c>
      <c r="AX2" s="148">
        <v>8</v>
      </c>
      <c r="AY2" s="147">
        <v>300</v>
      </c>
      <c r="AZ2" s="149"/>
      <c r="BC2" s="3"/>
      <c r="BD2" s="3"/>
      <c r="BE2" s="3"/>
      <c r="BG2" s="16"/>
      <c r="BH2" s="16"/>
    </row>
    <row r="3" spans="1:62" s="4" customFormat="1" ht="25.5" customHeight="1" x14ac:dyDescent="0.25">
      <c r="A3" s="24" t="s">
        <v>0</v>
      </c>
      <c r="B3" s="59" t="s">
        <v>16</v>
      </c>
      <c r="C3" s="60" t="s">
        <v>43</v>
      </c>
      <c r="D3" s="60" t="s">
        <v>6</v>
      </c>
      <c r="E3" s="59" t="s">
        <v>17</v>
      </c>
      <c r="F3" s="60" t="s">
        <v>2</v>
      </c>
      <c r="G3" s="72" t="s">
        <v>3</v>
      </c>
      <c r="H3" s="49" t="s">
        <v>38</v>
      </c>
      <c r="I3" s="80" t="s">
        <v>5</v>
      </c>
      <c r="J3" s="24" t="s">
        <v>39</v>
      </c>
      <c r="K3" s="24" t="s">
        <v>45</v>
      </c>
      <c r="L3" s="132" t="s">
        <v>46</v>
      </c>
      <c r="M3" s="133"/>
      <c r="N3" s="87" t="s">
        <v>4</v>
      </c>
      <c r="O3" s="24" t="s">
        <v>15</v>
      </c>
      <c r="P3" s="24" t="s">
        <v>7</v>
      </c>
      <c r="Q3" s="24" t="s">
        <v>8</v>
      </c>
      <c r="R3" s="24" t="s">
        <v>9</v>
      </c>
      <c r="S3" s="24" t="s">
        <v>49</v>
      </c>
      <c r="T3" s="24" t="s">
        <v>21</v>
      </c>
      <c r="U3" s="51" t="s">
        <v>22</v>
      </c>
      <c r="W3" s="115" t="s">
        <v>0</v>
      </c>
      <c r="X3" s="134" t="s">
        <v>110</v>
      </c>
      <c r="Y3" s="115" t="s">
        <v>63</v>
      </c>
      <c r="Z3" s="24" t="s">
        <v>53</v>
      </c>
      <c r="AA3" s="124" t="s">
        <v>17</v>
      </c>
      <c r="AB3" s="105" t="s">
        <v>2</v>
      </c>
      <c r="AC3" s="106" t="s">
        <v>54</v>
      </c>
      <c r="AD3" s="136" t="s">
        <v>107</v>
      </c>
      <c r="AE3" s="50" t="s">
        <v>5</v>
      </c>
      <c r="AF3" s="24" t="s">
        <v>51</v>
      </c>
      <c r="AG3" s="137" t="s">
        <v>108</v>
      </c>
      <c r="AH3" s="115" t="s">
        <v>45</v>
      </c>
      <c r="AI3" s="115" t="s">
        <v>46</v>
      </c>
      <c r="AJ3" s="24"/>
      <c r="AK3" s="24" t="s">
        <v>4</v>
      </c>
      <c r="AL3" s="24" t="s">
        <v>8</v>
      </c>
      <c r="AM3" s="103" t="s">
        <v>64</v>
      </c>
      <c r="AN3" s="109"/>
      <c r="AO3" s="110"/>
      <c r="AQ3" s="115" t="s">
        <v>0</v>
      </c>
      <c r="AR3" s="134" t="s">
        <v>106</v>
      </c>
      <c r="AS3" s="115" t="s">
        <v>63</v>
      </c>
      <c r="AT3" s="24" t="s">
        <v>53</v>
      </c>
      <c r="AU3" s="124" t="s">
        <v>17</v>
      </c>
      <c r="AV3" s="144" t="s">
        <v>109</v>
      </c>
      <c r="AW3" s="150" t="s">
        <v>2</v>
      </c>
      <c r="AX3" s="151" t="s">
        <v>54</v>
      </c>
      <c r="AY3" s="152" t="s">
        <v>55</v>
      </c>
      <c r="AZ3" s="153" t="s">
        <v>5</v>
      </c>
      <c r="BA3" s="24" t="s">
        <v>51</v>
      </c>
      <c r="BB3" s="137" t="s">
        <v>108</v>
      </c>
      <c r="BC3" s="115" t="s">
        <v>45</v>
      </c>
      <c r="BD3" s="115" t="s">
        <v>46</v>
      </c>
      <c r="BE3" s="24"/>
      <c r="BF3" s="24" t="s">
        <v>4</v>
      </c>
      <c r="BG3" s="24" t="s">
        <v>8</v>
      </c>
      <c r="BH3" s="131" t="s">
        <v>64</v>
      </c>
      <c r="BI3" s="109"/>
      <c r="BJ3" s="110"/>
    </row>
    <row r="4" spans="1:62" ht="15.75" customHeight="1" x14ac:dyDescent="0.2">
      <c r="A4" s="37"/>
      <c r="B4" s="61"/>
      <c r="C4" s="62"/>
      <c r="D4" s="62"/>
      <c r="E4" s="61"/>
      <c r="F4" s="63"/>
      <c r="G4" s="72"/>
      <c r="H4" s="25"/>
      <c r="I4" s="81"/>
      <c r="J4" s="34"/>
      <c r="K4" s="32"/>
      <c r="L4" s="32"/>
      <c r="M4" s="27"/>
      <c r="N4" s="81"/>
      <c r="O4" s="32"/>
      <c r="P4" s="32"/>
      <c r="Q4" s="35"/>
      <c r="R4" s="32"/>
      <c r="S4" s="32"/>
      <c r="T4" s="34"/>
      <c r="U4" s="18"/>
      <c r="V4" s="37"/>
      <c r="W4" s="1" t="s">
        <v>48</v>
      </c>
      <c r="X4" s="8">
        <v>0</v>
      </c>
      <c r="Y4" s="1"/>
      <c r="Z4" s="1"/>
      <c r="AA4" s="8"/>
      <c r="AB4" s="5"/>
      <c r="AC4" s="125">
        <f t="shared" ref="AC4:AC10" si="0">AB4/AC$2</f>
        <v>0</v>
      </c>
      <c r="AD4" s="121"/>
      <c r="AE4" s="157">
        <v>43612</v>
      </c>
      <c r="AF4" s="108" t="str">
        <f>VLOOKUP(AJ4,AN$4:AO$10,2)</f>
        <v>L</v>
      </c>
      <c r="AG4" s="22"/>
      <c r="AH4" s="32"/>
      <c r="AI4" s="32"/>
      <c r="AJ4" s="27">
        <f>WEEKDAY(AE4)</f>
        <v>2</v>
      </c>
      <c r="AK4" s="100">
        <f>AE4</f>
        <v>43612</v>
      </c>
      <c r="AL4" s="37"/>
      <c r="AM4" s="37"/>
      <c r="AN4" s="117">
        <v>1</v>
      </c>
      <c r="AO4" s="111" t="s">
        <v>56</v>
      </c>
      <c r="AQ4" s="1" t="s">
        <v>48</v>
      </c>
      <c r="AR4" s="8">
        <v>0</v>
      </c>
      <c r="AS4" s="1"/>
      <c r="AT4" s="1"/>
      <c r="AU4" s="8"/>
      <c r="AV4" s="139"/>
      <c r="AW4" s="154"/>
      <c r="AX4" s="155">
        <f t="shared" ref="AX4:AX34" si="1">AW4/AX$2</f>
        <v>0</v>
      </c>
      <c r="AY4" s="156"/>
      <c r="AZ4" s="157">
        <v>43612</v>
      </c>
      <c r="BA4" s="108" t="str">
        <f>VLOOKUP(BE4,BI$4:BJ$10,2)</f>
        <v>L</v>
      </c>
      <c r="BB4" s="22"/>
      <c r="BC4" s="32"/>
      <c r="BD4" s="32"/>
      <c r="BE4" s="27">
        <f t="shared" ref="BE4:BE5" si="2">WEEKDAY(AZ4)</f>
        <v>2</v>
      </c>
      <c r="BF4" s="100">
        <f>AZ4</f>
        <v>43612</v>
      </c>
      <c r="BG4" s="37"/>
      <c r="BH4" s="37"/>
      <c r="BI4" s="117">
        <v>1</v>
      </c>
      <c r="BJ4" s="111" t="s">
        <v>56</v>
      </c>
    </row>
    <row r="5" spans="1:62" ht="17.25" customHeight="1" x14ac:dyDescent="0.2">
      <c r="A5" s="32" t="s">
        <v>23</v>
      </c>
      <c r="B5" s="61">
        <v>1546</v>
      </c>
      <c r="C5" s="62"/>
      <c r="D5" s="62" t="e">
        <f>B5-#REF!+C5</f>
        <v>#REF!</v>
      </c>
      <c r="E5" s="61">
        <v>13500</v>
      </c>
      <c r="F5" s="63" t="e">
        <f t="shared" ref="F5:F6" si="3">(D5/F$2)+(E5/D$2)</f>
        <v>#REF!</v>
      </c>
      <c r="G5" s="72" t="e">
        <f t="shared" ref="G5:G6" si="4">F5/G$2</f>
        <v>#REF!</v>
      </c>
      <c r="H5" s="25" t="e">
        <f>#REF!+G5+#REF!</f>
        <v>#REF!</v>
      </c>
      <c r="I5" s="81" t="e">
        <f>#REF!+G5</f>
        <v>#REF!</v>
      </c>
      <c r="J5" s="34" t="e">
        <f t="shared" ref="J5:J6" si="5">IF(K5=1,(ROUNDUP(G5,0))-G5,IF(L5=1,(ROUNDUP(G5,0)-(G5-1)),0))</f>
        <v>#REF!</v>
      </c>
      <c r="K5" s="32">
        <v>1</v>
      </c>
      <c r="L5" s="32"/>
      <c r="M5" s="27" t="str">
        <f>IF(L5=1,H5-SUM(#REF!),"")</f>
        <v/>
      </c>
      <c r="N5" s="81" t="e">
        <f t="shared" ref="N5:N6" si="6">I5+J5</f>
        <v>#REF!</v>
      </c>
      <c r="O5" s="32" t="s">
        <v>24</v>
      </c>
      <c r="P5" s="32" t="s">
        <v>19</v>
      </c>
      <c r="Q5" s="36" t="s">
        <v>18</v>
      </c>
      <c r="R5" s="32" t="s">
        <v>50</v>
      </c>
      <c r="S5" s="35">
        <v>1</v>
      </c>
      <c r="T5" s="34">
        <f>G6</f>
        <v>3.7544512195121955</v>
      </c>
      <c r="U5" s="18" t="e">
        <f>G5+#REF!</f>
        <v>#REF!</v>
      </c>
      <c r="V5" s="32"/>
      <c r="W5" s="145" t="s">
        <v>72</v>
      </c>
      <c r="X5" s="146">
        <v>45</v>
      </c>
      <c r="Y5" s="145"/>
      <c r="Z5" s="98">
        <f t="shared" ref="Z5:Z9" si="7">IF(X5-X4+Y5&gt;0,X5-X4+Y5,0)</f>
        <v>45</v>
      </c>
      <c r="AA5" s="146">
        <v>1200</v>
      </c>
      <c r="AB5" s="22">
        <f t="shared" ref="AB5:AB34" si="8">(Z5/AB$2)+(AA5/AD$2)</f>
        <v>15.842105263157896</v>
      </c>
      <c r="AC5" s="125">
        <f t="shared" si="0"/>
        <v>1.9802631578947369</v>
      </c>
      <c r="AD5" s="121">
        <f>AA5/Z5</f>
        <v>26.666666666666668</v>
      </c>
      <c r="AE5" s="81">
        <f>AK4+AC5</f>
        <v>43613.980263157893</v>
      </c>
      <c r="AF5" s="108" t="str">
        <f>VLOOKUP(AJ5,AN$4:AO$10,2)</f>
        <v>Ma</v>
      </c>
      <c r="AG5" s="22">
        <f>(ROUNDUP(AC5,0)-AC5)</f>
        <v>1.9736842105263053E-2</v>
      </c>
      <c r="AH5" s="158">
        <v>1</v>
      </c>
      <c r="AI5" s="158"/>
      <c r="AJ5" s="27">
        <f>WEEKDAY(AE5)</f>
        <v>3</v>
      </c>
      <c r="AK5" s="100">
        <f>AE5+IF(AH5&gt;0,AG5,0)+IF(AI5&gt;0,AI5,0)</f>
        <v>43614</v>
      </c>
      <c r="AL5" s="37"/>
      <c r="AM5" s="37"/>
      <c r="AN5" s="117">
        <v>2</v>
      </c>
      <c r="AO5" s="111" t="s">
        <v>57</v>
      </c>
      <c r="AQ5" s="145" t="s">
        <v>72</v>
      </c>
      <c r="AR5" s="146">
        <v>45</v>
      </c>
      <c r="AS5" s="145"/>
      <c r="AT5" s="98">
        <f>AR5+AS5</f>
        <v>45</v>
      </c>
      <c r="AU5" s="146">
        <v>1200</v>
      </c>
      <c r="AV5" s="98">
        <f>AR5</f>
        <v>45</v>
      </c>
      <c r="AW5" s="22">
        <f t="shared" ref="AW5:AW34" si="9">(AT5/AW$2)+(AU5/AY$2)</f>
        <v>15.842105263157896</v>
      </c>
      <c r="AX5" s="125">
        <f t="shared" si="1"/>
        <v>1.9802631578947369</v>
      </c>
      <c r="AY5" s="121">
        <f>AU5/AT5</f>
        <v>26.666666666666668</v>
      </c>
      <c r="AZ5" s="81">
        <f>BF4+AX5</f>
        <v>43613.980263157893</v>
      </c>
      <c r="BA5" s="108" t="str">
        <f>VLOOKUP(BE5,BI$4:BJ$10,2)</f>
        <v>Ma</v>
      </c>
      <c r="BB5" s="22">
        <f>(ROUNDUP(AX5,0)-AX5)</f>
        <v>1.9736842105263053E-2</v>
      </c>
      <c r="BC5" s="158">
        <v>1</v>
      </c>
      <c r="BD5" s="158"/>
      <c r="BE5" s="27">
        <f t="shared" si="2"/>
        <v>3</v>
      </c>
      <c r="BF5" s="100">
        <f>AZ5+IF(BC5&gt;0,BB5,0)+IF(BD5&gt;0,BD5,0)</f>
        <v>43614</v>
      </c>
      <c r="BG5" s="37"/>
      <c r="BH5" s="37"/>
      <c r="BI5" s="117">
        <v>2</v>
      </c>
      <c r="BJ5" s="111" t="s">
        <v>57</v>
      </c>
    </row>
    <row r="6" spans="1:62" ht="16.5" customHeight="1" x14ac:dyDescent="0.2">
      <c r="A6" s="32" t="s">
        <v>1</v>
      </c>
      <c r="B6" s="61">
        <v>1629</v>
      </c>
      <c r="C6" s="62"/>
      <c r="D6" s="62">
        <f t="shared" ref="D6" si="10">B6-B5+C6</f>
        <v>83</v>
      </c>
      <c r="E6" s="61">
        <v>5700</v>
      </c>
      <c r="F6" s="63">
        <f t="shared" si="3"/>
        <v>37.544512195121953</v>
      </c>
      <c r="G6" s="72">
        <f t="shared" si="4"/>
        <v>3.7544512195121955</v>
      </c>
      <c r="H6" s="25" t="e">
        <f t="shared" ref="H6" si="11">H5+G6+J5</f>
        <v>#REF!</v>
      </c>
      <c r="I6" s="81" t="e">
        <f t="shared" ref="I6" si="12">N5+G6</f>
        <v>#REF!</v>
      </c>
      <c r="J6" s="32">
        <f t="shared" si="5"/>
        <v>0</v>
      </c>
      <c r="K6" s="32"/>
      <c r="L6" s="32"/>
      <c r="M6" s="27" t="str">
        <f>IF(L6=1,H6-SUM(M$4:M5),"")</f>
        <v/>
      </c>
      <c r="N6" s="81" t="e">
        <f t="shared" si="6"/>
        <v>#REF!</v>
      </c>
      <c r="O6" s="32" t="s">
        <v>13</v>
      </c>
      <c r="P6" s="32" t="s">
        <v>19</v>
      </c>
      <c r="Q6" s="37" t="s">
        <v>14</v>
      </c>
      <c r="R6" s="32" t="s">
        <v>20</v>
      </c>
      <c r="S6" s="32" t="s">
        <v>44</v>
      </c>
      <c r="T6" s="34"/>
      <c r="U6" s="18" t="e">
        <f t="shared" ref="U6" si="13">G6+U5</f>
        <v>#REF!</v>
      </c>
      <c r="V6" s="32"/>
      <c r="W6" s="145" t="s">
        <v>73</v>
      </c>
      <c r="X6" s="146">
        <v>147</v>
      </c>
      <c r="Y6" s="145"/>
      <c r="Z6" s="98">
        <f t="shared" si="7"/>
        <v>102</v>
      </c>
      <c r="AA6" s="146">
        <v>2560</v>
      </c>
      <c r="AB6" s="22">
        <f t="shared" si="8"/>
        <v>35.375438596491229</v>
      </c>
      <c r="AC6" s="125">
        <f t="shared" si="0"/>
        <v>4.4219298245614036</v>
      </c>
      <c r="AD6" s="121">
        <f t="shared" ref="AD6:AD34" si="14">AA6/Z6</f>
        <v>25.098039215686274</v>
      </c>
      <c r="AE6" s="81">
        <f>AK5+AC6</f>
        <v>43618.421929824559</v>
      </c>
      <c r="AF6" s="108" t="str">
        <f>VLOOKUP(AJ6,AN$4:AO$10,2)</f>
        <v>D</v>
      </c>
      <c r="AG6" s="22">
        <f>(ROUNDUP(AC6,0)-AC6)</f>
        <v>0.5780701754385964</v>
      </c>
      <c r="AH6" s="158"/>
      <c r="AI6" s="158"/>
      <c r="AJ6" s="27">
        <f>WEEKDAY(AE6)</f>
        <v>1</v>
      </c>
      <c r="AK6" s="100">
        <f>AE6+IF(AH6&gt;0,AG6,0)+IF(AI6&gt;0,AI6,0)</f>
        <v>43618.421929824559</v>
      </c>
      <c r="AL6" s="37"/>
      <c r="AM6" s="37"/>
      <c r="AN6" s="117">
        <v>3</v>
      </c>
      <c r="AO6" s="111" t="s">
        <v>58</v>
      </c>
      <c r="AQ6" s="145" t="s">
        <v>73</v>
      </c>
      <c r="AR6" s="146">
        <v>102</v>
      </c>
      <c r="AS6" s="145"/>
      <c r="AT6" s="98">
        <f t="shared" ref="AT6:AT29" si="15">AR6+AS6</f>
        <v>102</v>
      </c>
      <c r="AU6" s="146">
        <v>2560</v>
      </c>
      <c r="AV6" s="98">
        <f>AV5+AT6</f>
        <v>147</v>
      </c>
      <c r="AW6" s="22">
        <f t="shared" si="9"/>
        <v>35.375438596491229</v>
      </c>
      <c r="AX6" s="125">
        <f t="shared" si="1"/>
        <v>4.4219298245614036</v>
      </c>
      <c r="AY6" s="121">
        <f t="shared" ref="AY6:AY34" si="16">AU6/AT6</f>
        <v>25.098039215686274</v>
      </c>
      <c r="AZ6" s="81">
        <f>BF5+AX6</f>
        <v>43618.421929824559</v>
      </c>
      <c r="BA6" s="108" t="str">
        <f>VLOOKUP(BE6,BI$4:BJ$10,2)</f>
        <v>D</v>
      </c>
      <c r="BB6" s="22">
        <f>(ROUNDUP(AX6,0)-AX6)</f>
        <v>0.5780701754385964</v>
      </c>
      <c r="BC6" s="158"/>
      <c r="BD6" s="158"/>
      <c r="BE6" s="27">
        <f>WEEKDAY(AZ6)</f>
        <v>1</v>
      </c>
      <c r="BF6" s="100">
        <f>AZ6+IF(BC6&gt;0,BB6,0)+IF(BD6&gt;0,BD6,0)</f>
        <v>43618.421929824559</v>
      </c>
      <c r="BG6" s="37"/>
      <c r="BH6" s="37"/>
      <c r="BI6" s="117">
        <v>3</v>
      </c>
      <c r="BJ6" s="111" t="s">
        <v>58</v>
      </c>
    </row>
    <row r="7" spans="1:62" ht="15" x14ac:dyDescent="0.2">
      <c r="A7" s="32"/>
      <c r="B7" s="61"/>
      <c r="C7" s="62"/>
      <c r="D7" s="62"/>
      <c r="E7" s="64">
        <f>SUM(E4:E6)</f>
        <v>19200</v>
      </c>
      <c r="F7" s="63"/>
      <c r="G7" s="73" t="e">
        <f>SUM(G4:G6)</f>
        <v>#REF!</v>
      </c>
      <c r="H7" s="25"/>
      <c r="I7" s="81"/>
      <c r="J7" s="32" t="e">
        <f>SUM(J4:J6)</f>
        <v>#REF!</v>
      </c>
      <c r="K7" s="27">
        <f>SUM(K4:K6)</f>
        <v>1</v>
      </c>
      <c r="L7" s="27">
        <f>SUM(L4:L6)</f>
        <v>0</v>
      </c>
      <c r="M7" s="27"/>
      <c r="N7" s="81"/>
      <c r="O7" s="32"/>
      <c r="P7" s="32"/>
      <c r="Q7" s="32"/>
      <c r="R7" s="32"/>
      <c r="S7" s="32"/>
      <c r="T7" s="32"/>
      <c r="U7" s="18"/>
      <c r="W7" s="145" t="s">
        <v>74</v>
      </c>
      <c r="X7" s="146">
        <v>209</v>
      </c>
      <c r="Y7" s="145">
        <v>5</v>
      </c>
      <c r="Z7" s="98">
        <f t="shared" si="7"/>
        <v>67</v>
      </c>
      <c r="AA7" s="146">
        <v>2060</v>
      </c>
      <c r="AB7" s="22">
        <f t="shared" si="8"/>
        <v>24.498245614035088</v>
      </c>
      <c r="AC7" s="125">
        <f t="shared" si="0"/>
        <v>3.062280701754386</v>
      </c>
      <c r="AD7" s="121">
        <f t="shared" si="14"/>
        <v>30.746268656716417</v>
      </c>
      <c r="AE7" s="81">
        <f>AK6+AC7</f>
        <v>43621.484210526316</v>
      </c>
      <c r="AF7" s="108" t="str">
        <f>VLOOKUP(AJ7,AN$4:AO$10,2)</f>
        <v>Me</v>
      </c>
      <c r="AG7" s="22">
        <f>(ROUNDUP(AC7,0)-AC7)</f>
        <v>0.93771929824561395</v>
      </c>
      <c r="AH7" s="158">
        <v>1</v>
      </c>
      <c r="AI7" s="158">
        <v>1</v>
      </c>
      <c r="AJ7" s="27">
        <f>WEEKDAY(AE7)</f>
        <v>4</v>
      </c>
      <c r="AK7" s="100">
        <f>AE7+IF(AH7&gt;0,AG7,0)+IF(AI7&gt;0,AI7,0)</f>
        <v>43623.421929824559</v>
      </c>
      <c r="AL7" s="37"/>
      <c r="AM7" s="37"/>
      <c r="AN7" s="117">
        <v>4</v>
      </c>
      <c r="AO7" s="111" t="s">
        <v>59</v>
      </c>
      <c r="AQ7" s="145" t="s">
        <v>74</v>
      </c>
      <c r="AR7" s="146">
        <v>62</v>
      </c>
      <c r="AS7" s="145">
        <v>5</v>
      </c>
      <c r="AT7" s="98">
        <f t="shared" si="15"/>
        <v>67</v>
      </c>
      <c r="AU7" s="146">
        <v>2060</v>
      </c>
      <c r="AV7" s="98">
        <f t="shared" ref="AV7:AV29" si="17">AV6+AT7</f>
        <v>214</v>
      </c>
      <c r="AW7" s="22">
        <f t="shared" si="9"/>
        <v>24.498245614035088</v>
      </c>
      <c r="AX7" s="125">
        <f t="shared" si="1"/>
        <v>3.062280701754386</v>
      </c>
      <c r="AY7" s="121">
        <f t="shared" si="16"/>
        <v>30.746268656716417</v>
      </c>
      <c r="AZ7" s="81">
        <f>BF6+AX7</f>
        <v>43621.484210526316</v>
      </c>
      <c r="BA7" s="108" t="str">
        <f>VLOOKUP(BE7,BI$4:BJ$10,2)</f>
        <v>Me</v>
      </c>
      <c r="BB7" s="22">
        <f>(ROUNDUP(AX7,0)-AX7)</f>
        <v>0.93771929824561395</v>
      </c>
      <c r="BC7" s="158">
        <v>1</v>
      </c>
      <c r="BD7" s="158">
        <v>1</v>
      </c>
      <c r="BE7" s="27">
        <f>WEEKDAY(AZ7)</f>
        <v>4</v>
      </c>
      <c r="BF7" s="100">
        <f>AZ7+IF(BC7&gt;0,BB7,0)+IF(BD7&gt;0,BD7,0)</f>
        <v>43623.421929824559</v>
      </c>
      <c r="BG7" s="37"/>
      <c r="BH7" s="37"/>
      <c r="BI7" s="117">
        <v>4</v>
      </c>
      <c r="BJ7" s="111" t="s">
        <v>59</v>
      </c>
    </row>
    <row r="8" spans="1:62" ht="15" x14ac:dyDescent="0.2">
      <c r="A8" s="38"/>
      <c r="B8" s="65"/>
      <c r="C8" s="66"/>
      <c r="D8" s="66"/>
      <c r="E8" s="96"/>
      <c r="F8" s="67"/>
      <c r="G8" s="97"/>
      <c r="H8" s="44"/>
      <c r="I8" s="82"/>
      <c r="J8" s="38"/>
      <c r="K8" s="28"/>
      <c r="L8" s="28"/>
      <c r="M8" s="28"/>
      <c r="N8" s="82"/>
      <c r="O8" s="38"/>
      <c r="P8" s="38"/>
      <c r="Q8" s="38"/>
      <c r="R8" s="38"/>
      <c r="S8" s="38"/>
      <c r="T8" s="38"/>
      <c r="U8" s="19"/>
      <c r="W8" s="145" t="s">
        <v>75</v>
      </c>
      <c r="X8" s="146">
        <v>314</v>
      </c>
      <c r="Y8" s="145"/>
      <c r="Z8" s="98">
        <f t="shared" si="7"/>
        <v>105</v>
      </c>
      <c r="AA8" s="146">
        <v>1897</v>
      </c>
      <c r="AB8" s="22">
        <f t="shared" si="8"/>
        <v>33.954912280701755</v>
      </c>
      <c r="AC8" s="125">
        <f t="shared" si="0"/>
        <v>4.2443640350877194</v>
      </c>
      <c r="AD8" s="121">
        <f t="shared" si="14"/>
        <v>18.066666666666666</v>
      </c>
      <c r="AE8" s="81">
        <f>AK7+AC8</f>
        <v>43627.666293859649</v>
      </c>
      <c r="AF8" s="108" t="str">
        <f>VLOOKUP(AJ8,AN$4:AO$10,2)</f>
        <v>Ma</v>
      </c>
      <c r="AG8" s="22">
        <f>(ROUNDUP(AC8,0)-AC8)</f>
        <v>0.75563596491228058</v>
      </c>
      <c r="AH8" s="158">
        <v>1</v>
      </c>
      <c r="AI8" s="158"/>
      <c r="AJ8" s="27">
        <f>WEEKDAY(AE8)</f>
        <v>3</v>
      </c>
      <c r="AK8" s="100">
        <f>AE8+IF(AH8&gt;0,AG8,0)+IF(AI8&gt;0,AI8,0)</f>
        <v>43628.421929824559</v>
      </c>
      <c r="AL8" s="37"/>
      <c r="AM8" s="37"/>
      <c r="AN8" s="117">
        <v>5</v>
      </c>
      <c r="AO8" s="111" t="s">
        <v>60</v>
      </c>
      <c r="AQ8" s="145" t="s">
        <v>75</v>
      </c>
      <c r="AR8" s="146">
        <v>105</v>
      </c>
      <c r="AS8" s="145"/>
      <c r="AT8" s="98">
        <f t="shared" si="15"/>
        <v>105</v>
      </c>
      <c r="AU8" s="146">
        <v>1897</v>
      </c>
      <c r="AV8" s="98">
        <f t="shared" si="17"/>
        <v>319</v>
      </c>
      <c r="AW8" s="22">
        <f t="shared" si="9"/>
        <v>33.954912280701755</v>
      </c>
      <c r="AX8" s="125">
        <f t="shared" si="1"/>
        <v>4.2443640350877194</v>
      </c>
      <c r="AY8" s="121">
        <f t="shared" si="16"/>
        <v>18.066666666666666</v>
      </c>
      <c r="AZ8" s="81">
        <f>BF7+AX8</f>
        <v>43627.666293859649</v>
      </c>
      <c r="BA8" s="108" t="str">
        <f>VLOOKUP(BE8,BI$4:BJ$10,2)</f>
        <v>Ma</v>
      </c>
      <c r="BB8" s="22">
        <f>(ROUNDUP(AX8,0)-AX8)</f>
        <v>0.75563596491228058</v>
      </c>
      <c r="BC8" s="158">
        <v>1</v>
      </c>
      <c r="BD8" s="158"/>
      <c r="BE8" s="27">
        <f t="shared" ref="BE8:BE34" si="18">WEEKDAY(AZ8)</f>
        <v>3</v>
      </c>
      <c r="BF8" s="100">
        <f>AZ8+IF(BC8&gt;0,BB8,0)+IF(BD8&gt;0,BD8,0)</f>
        <v>43628.421929824559</v>
      </c>
      <c r="BG8" s="37"/>
      <c r="BH8" s="37"/>
      <c r="BI8" s="117">
        <v>5</v>
      </c>
      <c r="BJ8" s="111" t="s">
        <v>60</v>
      </c>
    </row>
    <row r="9" spans="1:62" ht="15" x14ac:dyDescent="0.2">
      <c r="A9" s="38"/>
      <c r="B9" s="65"/>
      <c r="C9" s="66"/>
      <c r="D9" s="66"/>
      <c r="E9" s="96"/>
      <c r="F9" s="67"/>
      <c r="G9" s="97"/>
      <c r="H9" s="44"/>
      <c r="I9" s="82"/>
      <c r="J9" s="38"/>
      <c r="K9" s="28"/>
      <c r="L9" s="28"/>
      <c r="M9" s="28"/>
      <c r="N9" s="82"/>
      <c r="O9" s="38"/>
      <c r="P9" s="38"/>
      <c r="Q9" s="38"/>
      <c r="R9" s="38"/>
      <c r="S9" s="38"/>
      <c r="T9" s="38"/>
      <c r="U9" s="19"/>
      <c r="W9" s="145" t="s">
        <v>76</v>
      </c>
      <c r="X9" s="146">
        <v>408</v>
      </c>
      <c r="Y9" s="145"/>
      <c r="Z9" s="98">
        <f t="shared" si="7"/>
        <v>94</v>
      </c>
      <c r="AA9" s="146">
        <v>560</v>
      </c>
      <c r="AB9" s="22">
        <f t="shared" si="8"/>
        <v>26.603508771929825</v>
      </c>
      <c r="AC9" s="126">
        <f t="shared" si="0"/>
        <v>3.3254385964912281</v>
      </c>
      <c r="AD9" s="121">
        <f t="shared" si="14"/>
        <v>5.957446808510638</v>
      </c>
      <c r="AE9" s="100">
        <f>AK8+AC9</f>
        <v>43631.747368421049</v>
      </c>
      <c r="AF9" s="108" t="str">
        <f>VLOOKUP(AJ9,AN$4:AO$10,2)</f>
        <v>S</v>
      </c>
      <c r="AG9" s="99">
        <f>(ROUNDUP(AC9,0)-AC9)</f>
        <v>0.67456140350877192</v>
      </c>
      <c r="AH9" s="159"/>
      <c r="AI9" s="159"/>
      <c r="AJ9" s="27">
        <f>WEEKDAY(AE9)</f>
        <v>7</v>
      </c>
      <c r="AK9" s="100">
        <f>AE9+IF(AH9&gt;0,AG9,0)+IF(AI9&gt;0,AI9,0)</f>
        <v>43631.747368421049</v>
      </c>
      <c r="AL9" s="37"/>
      <c r="AM9" s="37"/>
      <c r="AN9" s="117">
        <v>6</v>
      </c>
      <c r="AO9" s="111" t="s">
        <v>61</v>
      </c>
      <c r="AQ9" s="145" t="s">
        <v>76</v>
      </c>
      <c r="AR9" s="146">
        <v>94</v>
      </c>
      <c r="AS9" s="145"/>
      <c r="AT9" s="98">
        <f t="shared" si="15"/>
        <v>94</v>
      </c>
      <c r="AU9" s="146">
        <v>560</v>
      </c>
      <c r="AV9" s="98">
        <f t="shared" si="17"/>
        <v>413</v>
      </c>
      <c r="AW9" s="22">
        <f t="shared" si="9"/>
        <v>26.603508771929825</v>
      </c>
      <c r="AX9" s="126">
        <f t="shared" si="1"/>
        <v>3.3254385964912281</v>
      </c>
      <c r="AY9" s="121">
        <f t="shared" si="16"/>
        <v>5.957446808510638</v>
      </c>
      <c r="AZ9" s="100">
        <f>BF8+AX9</f>
        <v>43631.747368421049</v>
      </c>
      <c r="BA9" s="108" t="str">
        <f>VLOOKUP(BE9,BI$4:BJ$10,2)</f>
        <v>S</v>
      </c>
      <c r="BB9" s="99">
        <f>(ROUNDUP(AX9,0)-AX9)</f>
        <v>0.67456140350877192</v>
      </c>
      <c r="BC9" s="159"/>
      <c r="BD9" s="159"/>
      <c r="BE9" s="27">
        <f t="shared" si="18"/>
        <v>7</v>
      </c>
      <c r="BF9" s="100">
        <f>AZ9+IF(BC9&gt;0,BB9,0)+IF(BD9&gt;0,BD9,0)</f>
        <v>43631.747368421049</v>
      </c>
      <c r="BG9" s="37"/>
      <c r="BH9" s="37"/>
      <c r="BI9" s="117">
        <v>6</v>
      </c>
      <c r="BJ9" s="111" t="s">
        <v>61</v>
      </c>
    </row>
    <row r="10" spans="1:62" ht="15" x14ac:dyDescent="0.2">
      <c r="A10" s="38"/>
      <c r="B10" s="65"/>
      <c r="C10" s="66"/>
      <c r="D10" s="66"/>
      <c r="E10" s="96"/>
      <c r="F10" s="67"/>
      <c r="G10" s="97"/>
      <c r="H10" s="44"/>
      <c r="I10" s="82"/>
      <c r="J10" s="38"/>
      <c r="K10" s="28"/>
      <c r="L10" s="28"/>
      <c r="M10" s="28"/>
      <c r="N10" s="82"/>
      <c r="O10" s="38"/>
      <c r="P10" s="38"/>
      <c r="Q10" s="38"/>
      <c r="R10" s="38"/>
      <c r="S10" s="38"/>
      <c r="T10" s="38"/>
      <c r="U10" s="19"/>
      <c r="W10" s="145" t="s">
        <v>77</v>
      </c>
      <c r="X10" s="146">
        <v>560</v>
      </c>
      <c r="Y10" s="145"/>
      <c r="Z10" s="98">
        <f>IF(X10-X9+Y10&gt;0,X10-X9+Y10,0)</f>
        <v>152</v>
      </c>
      <c r="AA10" s="146">
        <v>2500</v>
      </c>
      <c r="AB10" s="22">
        <f t="shared" si="8"/>
        <v>48.333333333333336</v>
      </c>
      <c r="AC10" s="126">
        <f t="shared" si="0"/>
        <v>6.041666666666667</v>
      </c>
      <c r="AD10" s="121">
        <f t="shared" si="14"/>
        <v>16.44736842105263</v>
      </c>
      <c r="AE10" s="100">
        <f>AK9+AC10</f>
        <v>43637.789035087713</v>
      </c>
      <c r="AF10" s="108" t="str">
        <f>VLOOKUP(AJ10,AN$4:AO$10,2)</f>
        <v>V</v>
      </c>
      <c r="AG10" s="99">
        <f>(ROUNDUP(AC10,0)-AC10)</f>
        <v>0.95833333333333304</v>
      </c>
      <c r="AH10" s="159"/>
      <c r="AI10" s="159">
        <v>1</v>
      </c>
      <c r="AJ10" s="27">
        <f>WEEKDAY(AE10)</f>
        <v>6</v>
      </c>
      <c r="AK10" s="100">
        <f>AE10+IF(AH10&gt;0,AG10,0)+IF(AI10&gt;0,AI10,0)</f>
        <v>43638.789035087713</v>
      </c>
      <c r="AL10" s="37"/>
      <c r="AM10" s="37"/>
      <c r="AN10" s="117">
        <v>7</v>
      </c>
      <c r="AO10" s="111" t="s">
        <v>62</v>
      </c>
      <c r="AQ10" s="145" t="s">
        <v>77</v>
      </c>
      <c r="AR10" s="146">
        <v>152</v>
      </c>
      <c r="AS10" s="145"/>
      <c r="AT10" s="98">
        <f t="shared" si="15"/>
        <v>152</v>
      </c>
      <c r="AU10" s="146">
        <v>2500</v>
      </c>
      <c r="AV10" s="98">
        <f t="shared" si="17"/>
        <v>565</v>
      </c>
      <c r="AW10" s="22">
        <f t="shared" si="9"/>
        <v>48.333333333333336</v>
      </c>
      <c r="AX10" s="126">
        <f t="shared" si="1"/>
        <v>6.041666666666667</v>
      </c>
      <c r="AY10" s="121">
        <f t="shared" si="16"/>
        <v>16.44736842105263</v>
      </c>
      <c r="AZ10" s="100">
        <f>BF9+AX10</f>
        <v>43637.789035087713</v>
      </c>
      <c r="BA10" s="108" t="str">
        <f>VLOOKUP(BE10,BI$4:BJ$10,2)</f>
        <v>V</v>
      </c>
      <c r="BB10" s="99">
        <f>(ROUNDUP(AX10,0)-AX10)</f>
        <v>0.95833333333333304</v>
      </c>
      <c r="BC10" s="159"/>
      <c r="BD10" s="159">
        <v>1</v>
      </c>
      <c r="BE10" s="27">
        <f t="shared" si="18"/>
        <v>6</v>
      </c>
      <c r="BF10" s="100">
        <f>AZ10+IF(BC10&gt;0,BB10,0)+IF(BD10&gt;0,BD10,0)</f>
        <v>43638.789035087713</v>
      </c>
      <c r="BG10" s="37"/>
      <c r="BH10" s="37"/>
      <c r="BI10" s="117">
        <v>7</v>
      </c>
      <c r="BJ10" s="111" t="s">
        <v>62</v>
      </c>
    </row>
    <row r="11" spans="1:62" ht="15" x14ac:dyDescent="0.2">
      <c r="A11" s="38"/>
      <c r="B11" s="65"/>
      <c r="C11" s="66"/>
      <c r="D11" s="66"/>
      <c r="E11" s="96"/>
      <c r="F11" s="67"/>
      <c r="G11" s="97"/>
      <c r="H11" s="44"/>
      <c r="I11" s="82"/>
      <c r="J11" s="38"/>
      <c r="K11" s="28"/>
      <c r="L11" s="28"/>
      <c r="M11" s="28"/>
      <c r="N11" s="82"/>
      <c r="O11" s="38"/>
      <c r="P11" s="38"/>
      <c r="Q11" s="38"/>
      <c r="R11" s="38"/>
      <c r="S11" s="38"/>
      <c r="T11" s="38"/>
      <c r="U11" s="19"/>
      <c r="W11" s="145" t="s">
        <v>78</v>
      </c>
      <c r="X11" s="146"/>
      <c r="Y11" s="145"/>
      <c r="Z11" s="98">
        <f t="shared" ref="Z11:Z29" si="19">IF(X11-X10+Y11&gt;0,X11-X10+Y11,0)</f>
        <v>0</v>
      </c>
      <c r="AA11" s="146"/>
      <c r="AB11" s="22">
        <f t="shared" si="8"/>
        <v>0</v>
      </c>
      <c r="AC11" s="126">
        <f t="shared" ref="AC11:AC34" si="20">AB11/AC$2</f>
        <v>0</v>
      </c>
      <c r="AD11" s="121" t="e">
        <f t="shared" si="14"/>
        <v>#DIV/0!</v>
      </c>
      <c r="AE11" s="100">
        <f>AK10+AC11</f>
        <v>43638.789035087713</v>
      </c>
      <c r="AF11" s="108" t="str">
        <f>VLOOKUP(AJ11,AN$4:AO$10,2)</f>
        <v>S</v>
      </c>
      <c r="AG11" s="99">
        <f>(ROUNDUP(AC11,0)-AC11)</f>
        <v>0</v>
      </c>
      <c r="AH11" s="158"/>
      <c r="AI11" s="158"/>
      <c r="AJ11" s="27">
        <f>WEEKDAY(AE11)</f>
        <v>7</v>
      </c>
      <c r="AK11" s="100">
        <f>AE11+IF(AH11&gt;0,AG11,0)+IF(AI11&gt;0,AI11,0)</f>
        <v>43638.789035087713</v>
      </c>
      <c r="AL11" s="37"/>
      <c r="AM11" s="37"/>
      <c r="AN11" s="2"/>
      <c r="AO11" s="2"/>
      <c r="AQ11" s="145" t="s">
        <v>78</v>
      </c>
      <c r="AR11" s="146"/>
      <c r="AS11" s="145"/>
      <c r="AT11" s="98">
        <f t="shared" si="15"/>
        <v>0</v>
      </c>
      <c r="AU11" s="146"/>
      <c r="AV11" s="98">
        <f t="shared" si="17"/>
        <v>565</v>
      </c>
      <c r="AW11" s="22">
        <f t="shared" si="9"/>
        <v>0</v>
      </c>
      <c r="AX11" s="126">
        <f t="shared" si="1"/>
        <v>0</v>
      </c>
      <c r="AY11" s="121" t="e">
        <f t="shared" si="16"/>
        <v>#DIV/0!</v>
      </c>
      <c r="AZ11" s="100">
        <f>BF10+AX11</f>
        <v>43638.789035087713</v>
      </c>
      <c r="BA11" s="108" t="str">
        <f>VLOOKUP(BE11,BI$4:BJ$10,2)</f>
        <v>S</v>
      </c>
      <c r="BB11" s="99">
        <f>(ROUNDUP(AX11,0)-AX11)</f>
        <v>0</v>
      </c>
      <c r="BC11" s="158"/>
      <c r="BD11" s="158"/>
      <c r="BE11" s="27">
        <f t="shared" si="18"/>
        <v>7</v>
      </c>
      <c r="BF11" s="100">
        <f>AZ11+IF(BC11&gt;0,BB11,0)+IF(BD11&gt;0,BD11,0)</f>
        <v>43638.789035087713</v>
      </c>
      <c r="BG11" s="37"/>
      <c r="BH11" s="37"/>
      <c r="BI11" s="2"/>
      <c r="BJ11" s="2"/>
    </row>
    <row r="12" spans="1:62" ht="15" x14ac:dyDescent="0.2">
      <c r="A12" s="38"/>
      <c r="B12" s="65"/>
      <c r="C12" s="66"/>
      <c r="D12" s="66"/>
      <c r="E12" s="96"/>
      <c r="F12" s="67"/>
      <c r="G12" s="97"/>
      <c r="H12" s="44"/>
      <c r="I12" s="82"/>
      <c r="J12" s="38"/>
      <c r="K12" s="28"/>
      <c r="L12" s="28"/>
      <c r="M12" s="28"/>
      <c r="N12" s="82"/>
      <c r="O12" s="38"/>
      <c r="P12" s="38"/>
      <c r="Q12" s="38"/>
      <c r="R12" s="38"/>
      <c r="S12" s="38"/>
      <c r="T12" s="38"/>
      <c r="U12" s="19"/>
      <c r="W12" s="145" t="s">
        <v>79</v>
      </c>
      <c r="X12" s="146"/>
      <c r="Y12" s="145"/>
      <c r="Z12" s="98">
        <f t="shared" si="19"/>
        <v>0</v>
      </c>
      <c r="AA12" s="146"/>
      <c r="AB12" s="22">
        <f t="shared" si="8"/>
        <v>0</v>
      </c>
      <c r="AC12" s="126">
        <f t="shared" si="20"/>
        <v>0</v>
      </c>
      <c r="AD12" s="121" t="e">
        <f t="shared" si="14"/>
        <v>#DIV/0!</v>
      </c>
      <c r="AE12" s="100">
        <f>AK11+AC12</f>
        <v>43638.789035087713</v>
      </c>
      <c r="AF12" s="108" t="str">
        <f>VLOOKUP(AJ12,AN$4:AO$10,2)</f>
        <v>S</v>
      </c>
      <c r="AG12" s="99">
        <f>(ROUNDUP(AC12,0)-AC12)</f>
        <v>0</v>
      </c>
      <c r="AH12" s="159"/>
      <c r="AI12" s="159"/>
      <c r="AJ12" s="27">
        <f>WEEKDAY(AE12)</f>
        <v>7</v>
      </c>
      <c r="AK12" s="100">
        <f>AE12+IF(AH12&gt;0,AG12,0)+IF(AI12&gt;0,AI12,0)</f>
        <v>43638.789035087713</v>
      </c>
      <c r="AL12" s="37"/>
      <c r="AM12" s="37"/>
      <c r="AN12" s="2"/>
      <c r="AO12" s="2"/>
      <c r="AQ12" s="145" t="s">
        <v>79</v>
      </c>
      <c r="AR12" s="146"/>
      <c r="AS12" s="145"/>
      <c r="AT12" s="98">
        <f t="shared" si="15"/>
        <v>0</v>
      </c>
      <c r="AU12" s="146"/>
      <c r="AV12" s="98">
        <f t="shared" si="17"/>
        <v>565</v>
      </c>
      <c r="AW12" s="22">
        <f t="shared" si="9"/>
        <v>0</v>
      </c>
      <c r="AX12" s="126">
        <f t="shared" si="1"/>
        <v>0</v>
      </c>
      <c r="AY12" s="121" t="e">
        <f t="shared" si="16"/>
        <v>#DIV/0!</v>
      </c>
      <c r="AZ12" s="100">
        <f>BF11+AX12</f>
        <v>43638.789035087713</v>
      </c>
      <c r="BA12" s="108" t="str">
        <f>VLOOKUP(BE12,BI$4:BJ$10,2)</f>
        <v>S</v>
      </c>
      <c r="BB12" s="99">
        <f>(ROUNDUP(AX12,0)-AX12)</f>
        <v>0</v>
      </c>
      <c r="BC12" s="159"/>
      <c r="BD12" s="159"/>
      <c r="BE12" s="27">
        <f t="shared" si="18"/>
        <v>7</v>
      </c>
      <c r="BF12" s="100">
        <f>AZ12+IF(BC12&gt;0,BB12,0)+IF(BD12&gt;0,BD12,0)</f>
        <v>43638.789035087713</v>
      </c>
      <c r="BG12" s="37"/>
      <c r="BH12" s="37"/>
      <c r="BI12" s="2"/>
      <c r="BJ12" s="2"/>
    </row>
    <row r="13" spans="1:62" ht="15" x14ac:dyDescent="0.2">
      <c r="A13" s="38"/>
      <c r="B13" s="65"/>
      <c r="C13" s="66"/>
      <c r="D13" s="66"/>
      <c r="E13" s="96"/>
      <c r="F13" s="67"/>
      <c r="G13" s="97"/>
      <c r="H13" s="44"/>
      <c r="I13" s="82"/>
      <c r="J13" s="38"/>
      <c r="K13" s="28"/>
      <c r="L13" s="28"/>
      <c r="M13" s="28"/>
      <c r="N13" s="82"/>
      <c r="O13" s="38"/>
      <c r="P13" s="38"/>
      <c r="Q13" s="38"/>
      <c r="R13" s="38"/>
      <c r="S13" s="38"/>
      <c r="T13" s="38"/>
      <c r="U13" s="19"/>
      <c r="W13" s="145" t="s">
        <v>80</v>
      </c>
      <c r="X13" s="146"/>
      <c r="Y13" s="145"/>
      <c r="Z13" s="98">
        <f t="shared" si="19"/>
        <v>0</v>
      </c>
      <c r="AA13" s="146"/>
      <c r="AB13" s="22">
        <f t="shared" si="8"/>
        <v>0</v>
      </c>
      <c r="AC13" s="126">
        <f t="shared" si="20"/>
        <v>0</v>
      </c>
      <c r="AD13" s="121" t="e">
        <f t="shared" si="14"/>
        <v>#DIV/0!</v>
      </c>
      <c r="AE13" s="100">
        <f>AK12+AC13</f>
        <v>43638.789035087713</v>
      </c>
      <c r="AF13" s="108" t="str">
        <f>VLOOKUP(AJ13,AN$4:AO$10,2)</f>
        <v>S</v>
      </c>
      <c r="AG13" s="99">
        <f>(ROUNDUP(AC13,0)-AC13)</f>
        <v>0</v>
      </c>
      <c r="AH13" s="158"/>
      <c r="AI13" s="158"/>
      <c r="AJ13" s="27">
        <f>WEEKDAY(AE13)</f>
        <v>7</v>
      </c>
      <c r="AK13" s="100">
        <f>AE13+IF(AH13&gt;0,AG13,0)+IF(AI13&gt;0,AI13,0)</f>
        <v>43638.789035087713</v>
      </c>
      <c r="AL13" s="37"/>
      <c r="AM13" s="37"/>
      <c r="AN13" s="2"/>
      <c r="AO13" s="2"/>
      <c r="AQ13" s="145" t="s">
        <v>80</v>
      </c>
      <c r="AR13" s="146"/>
      <c r="AS13" s="145"/>
      <c r="AT13" s="98">
        <f t="shared" si="15"/>
        <v>0</v>
      </c>
      <c r="AU13" s="146"/>
      <c r="AV13" s="98">
        <f t="shared" si="17"/>
        <v>565</v>
      </c>
      <c r="AW13" s="22">
        <f t="shared" si="9"/>
        <v>0</v>
      </c>
      <c r="AX13" s="126">
        <f t="shared" si="1"/>
        <v>0</v>
      </c>
      <c r="AY13" s="121" t="e">
        <f t="shared" si="16"/>
        <v>#DIV/0!</v>
      </c>
      <c r="AZ13" s="100">
        <f>BF12+AX13</f>
        <v>43638.789035087713</v>
      </c>
      <c r="BA13" s="108" t="str">
        <f>VLOOKUP(BE13,BI$4:BJ$10,2)</f>
        <v>S</v>
      </c>
      <c r="BB13" s="99">
        <f>(ROUNDUP(AX13,0)-AX13)</f>
        <v>0</v>
      </c>
      <c r="BC13" s="158"/>
      <c r="BD13" s="158"/>
      <c r="BE13" s="27">
        <f t="shared" si="18"/>
        <v>7</v>
      </c>
      <c r="BF13" s="100">
        <f>AZ13+IF(BC13&gt;0,BB13,0)+IF(BD13&gt;0,BD13,0)</f>
        <v>43638.789035087713</v>
      </c>
      <c r="BG13" s="37"/>
      <c r="BH13" s="37"/>
      <c r="BI13" s="2"/>
      <c r="BJ13" s="2"/>
    </row>
    <row r="14" spans="1:62" ht="15" x14ac:dyDescent="0.2">
      <c r="A14" s="38"/>
      <c r="B14" s="65"/>
      <c r="C14" s="66"/>
      <c r="D14" s="66"/>
      <c r="E14" s="96"/>
      <c r="F14" s="67"/>
      <c r="G14" s="97"/>
      <c r="H14" s="44"/>
      <c r="I14" s="82"/>
      <c r="J14" s="38"/>
      <c r="K14" s="28"/>
      <c r="L14" s="28"/>
      <c r="M14" s="28"/>
      <c r="N14" s="82"/>
      <c r="O14" s="38"/>
      <c r="P14" s="38"/>
      <c r="Q14" s="38"/>
      <c r="R14" s="38"/>
      <c r="S14" s="38"/>
      <c r="T14" s="38"/>
      <c r="U14" s="19"/>
      <c r="W14" s="145" t="s">
        <v>81</v>
      </c>
      <c r="X14" s="146"/>
      <c r="Y14" s="145"/>
      <c r="Z14" s="98">
        <f t="shared" si="19"/>
        <v>0</v>
      </c>
      <c r="AA14" s="146"/>
      <c r="AB14" s="22">
        <f t="shared" si="8"/>
        <v>0</v>
      </c>
      <c r="AC14" s="126">
        <f t="shared" si="20"/>
        <v>0</v>
      </c>
      <c r="AD14" s="121" t="e">
        <f t="shared" si="14"/>
        <v>#DIV/0!</v>
      </c>
      <c r="AE14" s="100">
        <f>AK13+AC14</f>
        <v>43638.789035087713</v>
      </c>
      <c r="AF14" s="108" t="str">
        <f>VLOOKUP(AJ14,AN$4:AO$10,2)</f>
        <v>S</v>
      </c>
      <c r="AG14" s="99">
        <f>(ROUNDUP(AC14,0)-AC14)</f>
        <v>0</v>
      </c>
      <c r="AH14" s="159"/>
      <c r="AI14" s="159"/>
      <c r="AJ14" s="27">
        <f>WEEKDAY(AE14)</f>
        <v>7</v>
      </c>
      <c r="AK14" s="100">
        <f>AE14+IF(AH14&gt;0,AG14,0)+IF(AI14&gt;0,AI14,0)</f>
        <v>43638.789035087713</v>
      </c>
      <c r="AL14" s="37"/>
      <c r="AM14" s="37"/>
      <c r="AN14" s="2"/>
      <c r="AO14" s="2"/>
      <c r="AQ14" s="145" t="s">
        <v>81</v>
      </c>
      <c r="AR14" s="146"/>
      <c r="AS14" s="145"/>
      <c r="AT14" s="98">
        <f t="shared" si="15"/>
        <v>0</v>
      </c>
      <c r="AU14" s="146"/>
      <c r="AV14" s="98">
        <f t="shared" si="17"/>
        <v>565</v>
      </c>
      <c r="AW14" s="22">
        <f t="shared" si="9"/>
        <v>0</v>
      </c>
      <c r="AX14" s="126">
        <f t="shared" si="1"/>
        <v>0</v>
      </c>
      <c r="AY14" s="121" t="e">
        <f t="shared" si="16"/>
        <v>#DIV/0!</v>
      </c>
      <c r="AZ14" s="100">
        <f>BF13+AX14</f>
        <v>43638.789035087713</v>
      </c>
      <c r="BA14" s="108" t="str">
        <f>VLOOKUP(BE14,BI$4:BJ$10,2)</f>
        <v>S</v>
      </c>
      <c r="BB14" s="99">
        <f>(ROUNDUP(AX14,0)-AX14)</f>
        <v>0</v>
      </c>
      <c r="BC14" s="159"/>
      <c r="BD14" s="159"/>
      <c r="BE14" s="27">
        <f t="shared" si="18"/>
        <v>7</v>
      </c>
      <c r="BF14" s="100">
        <f>AZ14+IF(BC14&gt;0,BB14,0)+IF(BD14&gt;0,BD14,0)</f>
        <v>43638.789035087713</v>
      </c>
      <c r="BG14" s="37"/>
      <c r="BH14" s="37"/>
      <c r="BI14" s="2"/>
      <c r="BJ14" s="2"/>
    </row>
    <row r="15" spans="1:62" ht="15" x14ac:dyDescent="0.2">
      <c r="A15" s="38"/>
      <c r="B15" s="65"/>
      <c r="C15" s="66"/>
      <c r="D15" s="66"/>
      <c r="E15" s="96"/>
      <c r="F15" s="67"/>
      <c r="G15" s="97"/>
      <c r="H15" s="44"/>
      <c r="I15" s="82"/>
      <c r="J15" s="38"/>
      <c r="K15" s="28"/>
      <c r="L15" s="28"/>
      <c r="M15" s="28"/>
      <c r="N15" s="82"/>
      <c r="O15" s="38"/>
      <c r="P15" s="38"/>
      <c r="Q15" s="38"/>
      <c r="R15" s="38"/>
      <c r="S15" s="38"/>
      <c r="T15" s="38"/>
      <c r="U15" s="19"/>
      <c r="W15" s="145" t="s">
        <v>82</v>
      </c>
      <c r="X15" s="146"/>
      <c r="Y15" s="145"/>
      <c r="Z15" s="98">
        <f t="shared" si="19"/>
        <v>0</v>
      </c>
      <c r="AA15" s="146"/>
      <c r="AB15" s="22">
        <f t="shared" si="8"/>
        <v>0</v>
      </c>
      <c r="AC15" s="126">
        <f t="shared" si="20"/>
        <v>0</v>
      </c>
      <c r="AD15" s="121" t="e">
        <f t="shared" si="14"/>
        <v>#DIV/0!</v>
      </c>
      <c r="AE15" s="100">
        <f>AK14+AC15</f>
        <v>43638.789035087713</v>
      </c>
      <c r="AF15" s="108" t="str">
        <f>VLOOKUP(AJ15,AN$4:AO$10,2)</f>
        <v>S</v>
      </c>
      <c r="AG15" s="99">
        <f>(ROUNDUP(AC15,0)-AC15)</f>
        <v>0</v>
      </c>
      <c r="AH15" s="159"/>
      <c r="AI15" s="159"/>
      <c r="AJ15" s="27">
        <f>WEEKDAY(AE15)</f>
        <v>7</v>
      </c>
      <c r="AK15" s="100">
        <f>AE15+IF(AH15&gt;0,AG15,0)+IF(AI15&gt;0,AI15,0)</f>
        <v>43638.789035087713</v>
      </c>
      <c r="AL15" s="37"/>
      <c r="AM15" s="37"/>
      <c r="AN15" s="2"/>
      <c r="AO15" s="2"/>
      <c r="AQ15" s="145" t="s">
        <v>82</v>
      </c>
      <c r="AR15" s="146"/>
      <c r="AS15" s="145"/>
      <c r="AT15" s="98">
        <f t="shared" si="15"/>
        <v>0</v>
      </c>
      <c r="AU15" s="146"/>
      <c r="AV15" s="98">
        <f t="shared" si="17"/>
        <v>565</v>
      </c>
      <c r="AW15" s="22">
        <f t="shared" si="9"/>
        <v>0</v>
      </c>
      <c r="AX15" s="126">
        <f t="shared" si="1"/>
        <v>0</v>
      </c>
      <c r="AY15" s="121" t="e">
        <f t="shared" si="16"/>
        <v>#DIV/0!</v>
      </c>
      <c r="AZ15" s="100">
        <f>BF14+AX15</f>
        <v>43638.789035087713</v>
      </c>
      <c r="BA15" s="108" t="str">
        <f>VLOOKUP(BE15,BI$4:BJ$10,2)</f>
        <v>S</v>
      </c>
      <c r="BB15" s="99">
        <f>(ROUNDUP(AX15,0)-AX15)</f>
        <v>0</v>
      </c>
      <c r="BC15" s="159"/>
      <c r="BD15" s="159"/>
      <c r="BE15" s="27">
        <f t="shared" si="18"/>
        <v>7</v>
      </c>
      <c r="BF15" s="100">
        <f>AZ15+IF(BC15&gt;0,BB15,0)+IF(BD15&gt;0,BD15,0)</f>
        <v>43638.789035087713</v>
      </c>
      <c r="BG15" s="37"/>
      <c r="BH15" s="37"/>
      <c r="BI15" s="2"/>
      <c r="BJ15" s="2"/>
    </row>
    <row r="16" spans="1:62" ht="15" x14ac:dyDescent="0.2">
      <c r="A16" s="38"/>
      <c r="B16" s="65"/>
      <c r="C16" s="66"/>
      <c r="D16" s="66"/>
      <c r="E16" s="96"/>
      <c r="F16" s="67"/>
      <c r="G16" s="97"/>
      <c r="H16" s="44"/>
      <c r="I16" s="82"/>
      <c r="J16" s="38"/>
      <c r="K16" s="28"/>
      <c r="L16" s="28"/>
      <c r="M16" s="28"/>
      <c r="N16" s="82"/>
      <c r="O16" s="38"/>
      <c r="P16" s="38"/>
      <c r="Q16" s="38"/>
      <c r="R16" s="38"/>
      <c r="S16" s="38"/>
      <c r="T16" s="38"/>
      <c r="U16" s="19"/>
      <c r="W16" s="145" t="s">
        <v>83</v>
      </c>
      <c r="X16" s="146"/>
      <c r="Y16" s="145"/>
      <c r="Z16" s="98">
        <f t="shared" si="19"/>
        <v>0</v>
      </c>
      <c r="AA16" s="146"/>
      <c r="AB16" s="22">
        <f t="shared" si="8"/>
        <v>0</v>
      </c>
      <c r="AC16" s="126">
        <f t="shared" si="20"/>
        <v>0</v>
      </c>
      <c r="AD16" s="121" t="e">
        <f t="shared" si="14"/>
        <v>#DIV/0!</v>
      </c>
      <c r="AE16" s="100">
        <f>AK15+AC16</f>
        <v>43638.789035087713</v>
      </c>
      <c r="AF16" s="108" t="str">
        <f>VLOOKUP(AJ16,AN$4:AO$10,2)</f>
        <v>S</v>
      </c>
      <c r="AG16" s="99">
        <f>(ROUNDUP(AC16,0)-AC16)</f>
        <v>0</v>
      </c>
      <c r="AH16" s="158"/>
      <c r="AI16" s="158"/>
      <c r="AJ16" s="27">
        <f>WEEKDAY(AE16)</f>
        <v>7</v>
      </c>
      <c r="AK16" s="100">
        <f>AE16+IF(AH16&gt;0,AG16,0)+IF(AI16&gt;0,AI16,0)</f>
        <v>43638.789035087713</v>
      </c>
      <c r="AL16" s="37"/>
      <c r="AM16" s="37"/>
      <c r="AN16" s="2"/>
      <c r="AO16" s="2"/>
      <c r="AQ16" s="145" t="s">
        <v>83</v>
      </c>
      <c r="AR16" s="146"/>
      <c r="AS16" s="145"/>
      <c r="AT16" s="98">
        <f t="shared" si="15"/>
        <v>0</v>
      </c>
      <c r="AU16" s="146"/>
      <c r="AV16" s="98">
        <f t="shared" si="17"/>
        <v>565</v>
      </c>
      <c r="AW16" s="22">
        <f t="shared" si="9"/>
        <v>0</v>
      </c>
      <c r="AX16" s="126">
        <f t="shared" si="1"/>
        <v>0</v>
      </c>
      <c r="AY16" s="121" t="e">
        <f t="shared" si="16"/>
        <v>#DIV/0!</v>
      </c>
      <c r="AZ16" s="100">
        <f>BF15+AX16</f>
        <v>43638.789035087713</v>
      </c>
      <c r="BA16" s="108" t="str">
        <f>VLOOKUP(BE16,BI$4:BJ$10,2)</f>
        <v>S</v>
      </c>
      <c r="BB16" s="99">
        <f>(ROUNDUP(AX16,0)-AX16)</f>
        <v>0</v>
      </c>
      <c r="BC16" s="158"/>
      <c r="BD16" s="158"/>
      <c r="BE16" s="27">
        <f t="shared" si="18"/>
        <v>7</v>
      </c>
      <c r="BF16" s="100">
        <f>AZ16+IF(BC16&gt;0,BB16,0)+IF(BD16&gt;0,BD16,0)</f>
        <v>43638.789035087713</v>
      </c>
      <c r="BG16" s="37"/>
      <c r="BH16" s="37"/>
      <c r="BI16" s="2"/>
      <c r="BJ16" s="2"/>
    </row>
    <row r="17" spans="1:62" ht="15" x14ac:dyDescent="0.2">
      <c r="A17" s="38"/>
      <c r="B17" s="65"/>
      <c r="C17" s="66"/>
      <c r="D17" s="66"/>
      <c r="E17" s="96"/>
      <c r="F17" s="67"/>
      <c r="G17" s="97"/>
      <c r="H17" s="44"/>
      <c r="I17" s="82"/>
      <c r="J17" s="38"/>
      <c r="K17" s="28"/>
      <c r="L17" s="28"/>
      <c r="M17" s="28"/>
      <c r="N17" s="82"/>
      <c r="O17" s="38"/>
      <c r="P17" s="38"/>
      <c r="Q17" s="38"/>
      <c r="R17" s="38"/>
      <c r="S17" s="38"/>
      <c r="T17" s="38"/>
      <c r="U17" s="19"/>
      <c r="W17" s="145" t="s">
        <v>84</v>
      </c>
      <c r="X17" s="146"/>
      <c r="Y17" s="145"/>
      <c r="Z17" s="98">
        <f t="shared" si="19"/>
        <v>0</v>
      </c>
      <c r="AA17" s="146"/>
      <c r="AB17" s="22">
        <f t="shared" si="8"/>
        <v>0</v>
      </c>
      <c r="AC17" s="126">
        <f t="shared" si="20"/>
        <v>0</v>
      </c>
      <c r="AD17" s="121" t="e">
        <f t="shared" si="14"/>
        <v>#DIV/0!</v>
      </c>
      <c r="AE17" s="100">
        <f>AK16+AC17</f>
        <v>43638.789035087713</v>
      </c>
      <c r="AF17" s="108" t="str">
        <f>VLOOKUP(AJ17,AN$4:AO$10,2)</f>
        <v>S</v>
      </c>
      <c r="AG17" s="99">
        <f>(ROUNDUP(AC17,0)-AC17)</f>
        <v>0</v>
      </c>
      <c r="AH17" s="159"/>
      <c r="AI17" s="159"/>
      <c r="AJ17" s="27">
        <f>WEEKDAY(AE17)</f>
        <v>7</v>
      </c>
      <c r="AK17" s="100">
        <f>AE17+IF(AH17&gt;0,AG17,0)+IF(AI17&gt;0,AI17,0)</f>
        <v>43638.789035087713</v>
      </c>
      <c r="AL17" s="37"/>
      <c r="AM17" s="37"/>
      <c r="AN17" s="2"/>
      <c r="AO17" s="2"/>
      <c r="AQ17" s="145" t="s">
        <v>84</v>
      </c>
      <c r="AR17" s="146"/>
      <c r="AS17" s="145"/>
      <c r="AT17" s="98">
        <f t="shared" si="15"/>
        <v>0</v>
      </c>
      <c r="AU17" s="146"/>
      <c r="AV17" s="98">
        <f t="shared" si="17"/>
        <v>565</v>
      </c>
      <c r="AW17" s="22">
        <f t="shared" si="9"/>
        <v>0</v>
      </c>
      <c r="AX17" s="126">
        <f t="shared" si="1"/>
        <v>0</v>
      </c>
      <c r="AY17" s="121" t="e">
        <f t="shared" si="16"/>
        <v>#DIV/0!</v>
      </c>
      <c r="AZ17" s="100">
        <f>BF16+AX17</f>
        <v>43638.789035087713</v>
      </c>
      <c r="BA17" s="108" t="str">
        <f>VLOOKUP(BE17,BI$4:BJ$10,2)</f>
        <v>S</v>
      </c>
      <c r="BB17" s="99">
        <f>(ROUNDUP(AX17,0)-AX17)</f>
        <v>0</v>
      </c>
      <c r="BC17" s="159"/>
      <c r="BD17" s="159"/>
      <c r="BE17" s="27">
        <f t="shared" si="18"/>
        <v>7</v>
      </c>
      <c r="BF17" s="100">
        <f>AZ17+IF(BC17&gt;0,BB17,0)+IF(BD17&gt;0,BD17,0)</f>
        <v>43638.789035087713</v>
      </c>
      <c r="BG17" s="37"/>
      <c r="BH17" s="37"/>
      <c r="BI17" s="2"/>
      <c r="BJ17" s="2"/>
    </row>
    <row r="18" spans="1:62" ht="15" x14ac:dyDescent="0.2">
      <c r="A18" s="38"/>
      <c r="B18" s="65"/>
      <c r="C18" s="66"/>
      <c r="D18" s="66"/>
      <c r="E18" s="96"/>
      <c r="F18" s="67"/>
      <c r="G18" s="97"/>
      <c r="H18" s="44"/>
      <c r="I18" s="82"/>
      <c r="J18" s="38"/>
      <c r="K18" s="28"/>
      <c r="L18" s="28"/>
      <c r="M18" s="28"/>
      <c r="N18" s="82"/>
      <c r="O18" s="38"/>
      <c r="P18" s="38"/>
      <c r="Q18" s="38"/>
      <c r="R18" s="38"/>
      <c r="S18" s="38"/>
      <c r="T18" s="38"/>
      <c r="U18" s="19"/>
      <c r="W18" s="145" t="s">
        <v>85</v>
      </c>
      <c r="X18" s="146"/>
      <c r="Y18" s="145"/>
      <c r="Z18" s="98">
        <f t="shared" si="19"/>
        <v>0</v>
      </c>
      <c r="AA18" s="146"/>
      <c r="AB18" s="22">
        <f t="shared" si="8"/>
        <v>0</v>
      </c>
      <c r="AC18" s="126">
        <f t="shared" si="20"/>
        <v>0</v>
      </c>
      <c r="AD18" s="121" t="e">
        <f t="shared" si="14"/>
        <v>#DIV/0!</v>
      </c>
      <c r="AE18" s="100">
        <f>AK17+AC18</f>
        <v>43638.789035087713</v>
      </c>
      <c r="AF18" s="108" t="str">
        <f>VLOOKUP(AJ18,AN$4:AO$10,2)</f>
        <v>S</v>
      </c>
      <c r="AG18" s="99">
        <f>(ROUNDUP(AC18,0)-AC18)</f>
        <v>0</v>
      </c>
      <c r="AH18" s="159"/>
      <c r="AI18" s="159"/>
      <c r="AJ18" s="27">
        <f>WEEKDAY(AE18)</f>
        <v>7</v>
      </c>
      <c r="AK18" s="100">
        <f>AE18+IF(AH18&gt;0,AG18,0)+IF(AI18&gt;0,AI18,0)</f>
        <v>43638.789035087713</v>
      </c>
      <c r="AL18" s="37"/>
      <c r="AM18" s="37"/>
      <c r="AQ18" s="145" t="s">
        <v>85</v>
      </c>
      <c r="AR18" s="146"/>
      <c r="AS18" s="145"/>
      <c r="AT18" s="98">
        <f t="shared" si="15"/>
        <v>0</v>
      </c>
      <c r="AU18" s="146"/>
      <c r="AV18" s="98">
        <f t="shared" si="17"/>
        <v>565</v>
      </c>
      <c r="AW18" s="22">
        <f t="shared" si="9"/>
        <v>0</v>
      </c>
      <c r="AX18" s="126">
        <f t="shared" si="1"/>
        <v>0</v>
      </c>
      <c r="AY18" s="121" t="e">
        <f t="shared" si="16"/>
        <v>#DIV/0!</v>
      </c>
      <c r="AZ18" s="100">
        <f>BF17+AX18</f>
        <v>43638.789035087713</v>
      </c>
      <c r="BA18" s="108" t="str">
        <f>VLOOKUP(BE18,BI$4:BJ$10,2)</f>
        <v>S</v>
      </c>
      <c r="BB18" s="99">
        <f>(ROUNDUP(AX18,0)-AX18)</f>
        <v>0</v>
      </c>
      <c r="BC18" s="159"/>
      <c r="BD18" s="159"/>
      <c r="BE18" s="27">
        <f t="shared" si="18"/>
        <v>7</v>
      </c>
      <c r="BF18" s="100">
        <f>AZ18+IF(BC18&gt;0,BB18,0)+IF(BD18&gt;0,BD18,0)</f>
        <v>43638.789035087713</v>
      </c>
      <c r="BG18" s="37"/>
      <c r="BH18" s="37"/>
    </row>
    <row r="19" spans="1:62" ht="15" x14ac:dyDescent="0.2">
      <c r="A19" s="38"/>
      <c r="B19" s="65"/>
      <c r="C19" s="66"/>
      <c r="D19" s="66"/>
      <c r="E19" s="96"/>
      <c r="F19" s="67"/>
      <c r="G19" s="97"/>
      <c r="H19" s="44"/>
      <c r="I19" s="82"/>
      <c r="J19" s="38"/>
      <c r="K19" s="28"/>
      <c r="L19" s="28"/>
      <c r="M19" s="28"/>
      <c r="N19" s="82"/>
      <c r="O19" s="38"/>
      <c r="P19" s="38"/>
      <c r="Q19" s="38"/>
      <c r="R19" s="38"/>
      <c r="S19" s="38"/>
      <c r="T19" s="38"/>
      <c r="U19" s="19"/>
      <c r="W19" s="145" t="s">
        <v>86</v>
      </c>
      <c r="X19" s="146"/>
      <c r="Y19" s="145"/>
      <c r="Z19" s="98">
        <f t="shared" si="19"/>
        <v>0</v>
      </c>
      <c r="AA19" s="146"/>
      <c r="AB19" s="22">
        <f t="shared" si="8"/>
        <v>0</v>
      </c>
      <c r="AC19" s="126">
        <f t="shared" si="20"/>
        <v>0</v>
      </c>
      <c r="AD19" s="121" t="e">
        <f t="shared" si="14"/>
        <v>#DIV/0!</v>
      </c>
      <c r="AE19" s="100">
        <f>AK18+AC19</f>
        <v>43638.789035087713</v>
      </c>
      <c r="AF19" s="108" t="str">
        <f>VLOOKUP(AJ19,AN$4:AO$10,2)</f>
        <v>S</v>
      </c>
      <c r="AG19" s="99">
        <f>(ROUNDUP(AC19,0)-AC19)</f>
        <v>0</v>
      </c>
      <c r="AH19" s="158"/>
      <c r="AI19" s="158"/>
      <c r="AJ19" s="27">
        <f>WEEKDAY(AE19)</f>
        <v>7</v>
      </c>
      <c r="AK19" s="100">
        <f>AE19+IF(AH19&gt;0,AG19,0)+IF(AI19&gt;0,AI19,0)</f>
        <v>43638.789035087713</v>
      </c>
      <c r="AL19" s="37"/>
      <c r="AM19" s="37"/>
      <c r="AQ19" s="145" t="s">
        <v>86</v>
      </c>
      <c r="AR19" s="146"/>
      <c r="AS19" s="145"/>
      <c r="AT19" s="98">
        <f t="shared" si="15"/>
        <v>0</v>
      </c>
      <c r="AU19" s="146"/>
      <c r="AV19" s="98">
        <f t="shared" si="17"/>
        <v>565</v>
      </c>
      <c r="AW19" s="22">
        <f t="shared" si="9"/>
        <v>0</v>
      </c>
      <c r="AX19" s="126">
        <f t="shared" si="1"/>
        <v>0</v>
      </c>
      <c r="AY19" s="121" t="e">
        <f t="shared" si="16"/>
        <v>#DIV/0!</v>
      </c>
      <c r="AZ19" s="100">
        <f>BF18+AX19</f>
        <v>43638.789035087713</v>
      </c>
      <c r="BA19" s="108" t="str">
        <f>VLOOKUP(BE19,BI$4:BJ$10,2)</f>
        <v>S</v>
      </c>
      <c r="BB19" s="99">
        <f>(ROUNDUP(AX19,0)-AX19)</f>
        <v>0</v>
      </c>
      <c r="BC19" s="158"/>
      <c r="BD19" s="158"/>
      <c r="BE19" s="27">
        <f t="shared" si="18"/>
        <v>7</v>
      </c>
      <c r="BF19" s="100">
        <f>AZ19+IF(BC19&gt;0,BB19,0)+IF(BD19&gt;0,BD19,0)</f>
        <v>43638.789035087713</v>
      </c>
      <c r="BG19" s="37"/>
      <c r="BH19" s="37"/>
    </row>
    <row r="20" spans="1:62" ht="15" x14ac:dyDescent="0.2">
      <c r="A20" s="38"/>
      <c r="B20" s="65"/>
      <c r="C20" s="66"/>
      <c r="D20" s="66"/>
      <c r="E20" s="96"/>
      <c r="F20" s="67"/>
      <c r="G20" s="97"/>
      <c r="H20" s="44"/>
      <c r="I20" s="82"/>
      <c r="J20" s="38"/>
      <c r="K20" s="28"/>
      <c r="L20" s="28"/>
      <c r="M20" s="28"/>
      <c r="N20" s="82"/>
      <c r="O20" s="38"/>
      <c r="P20" s="38"/>
      <c r="Q20" s="38"/>
      <c r="R20" s="38"/>
      <c r="S20" s="38"/>
      <c r="T20" s="38"/>
      <c r="U20" s="19"/>
      <c r="W20" s="145" t="s">
        <v>87</v>
      </c>
      <c r="X20" s="146"/>
      <c r="Y20" s="145"/>
      <c r="Z20" s="98">
        <f t="shared" si="19"/>
        <v>0</v>
      </c>
      <c r="AA20" s="146"/>
      <c r="AB20" s="22">
        <f t="shared" si="8"/>
        <v>0</v>
      </c>
      <c r="AC20" s="126">
        <f t="shared" si="20"/>
        <v>0</v>
      </c>
      <c r="AD20" s="121" t="e">
        <f t="shared" si="14"/>
        <v>#DIV/0!</v>
      </c>
      <c r="AE20" s="100">
        <f>AK19+AC20</f>
        <v>43638.789035087713</v>
      </c>
      <c r="AF20" s="108" t="str">
        <f>VLOOKUP(AJ20,AN$4:AO$10,2)</f>
        <v>S</v>
      </c>
      <c r="AG20" s="99">
        <f>(ROUNDUP(AC20,0)-AC20)</f>
        <v>0</v>
      </c>
      <c r="AH20" s="158"/>
      <c r="AI20" s="158"/>
      <c r="AJ20" s="27">
        <f>WEEKDAY(AE20)</f>
        <v>7</v>
      </c>
      <c r="AK20" s="100">
        <f>AE20+IF(AH20&gt;0,AG20,0)+IF(AI20&gt;0,AI20,0)</f>
        <v>43638.789035087713</v>
      </c>
      <c r="AL20" s="37"/>
      <c r="AM20" s="37"/>
      <c r="AQ20" s="145" t="s">
        <v>87</v>
      </c>
      <c r="AR20" s="146"/>
      <c r="AS20" s="145"/>
      <c r="AT20" s="98">
        <f t="shared" si="15"/>
        <v>0</v>
      </c>
      <c r="AU20" s="146"/>
      <c r="AV20" s="98">
        <f t="shared" si="17"/>
        <v>565</v>
      </c>
      <c r="AW20" s="22">
        <f t="shared" si="9"/>
        <v>0</v>
      </c>
      <c r="AX20" s="126">
        <f t="shared" si="1"/>
        <v>0</v>
      </c>
      <c r="AY20" s="121" t="e">
        <f t="shared" si="16"/>
        <v>#DIV/0!</v>
      </c>
      <c r="AZ20" s="100">
        <f>BF19+AX20</f>
        <v>43638.789035087713</v>
      </c>
      <c r="BA20" s="108" t="str">
        <f>VLOOKUP(BE20,BI$4:BJ$10,2)</f>
        <v>S</v>
      </c>
      <c r="BB20" s="99">
        <f>(ROUNDUP(AX20,0)-AX20)</f>
        <v>0</v>
      </c>
      <c r="BC20" s="158"/>
      <c r="BD20" s="158"/>
      <c r="BE20" s="27">
        <f t="shared" si="18"/>
        <v>7</v>
      </c>
      <c r="BF20" s="100">
        <f>AZ20+IF(BC20&gt;0,BB20,0)+IF(BD20&gt;0,BD20,0)</f>
        <v>43638.789035087713</v>
      </c>
      <c r="BG20" s="37"/>
      <c r="BH20" s="37"/>
    </row>
    <row r="21" spans="1:62" ht="15" x14ac:dyDescent="0.2">
      <c r="A21" s="38"/>
      <c r="B21" s="65"/>
      <c r="C21" s="66"/>
      <c r="D21" s="66"/>
      <c r="E21" s="96"/>
      <c r="F21" s="67"/>
      <c r="G21" s="97"/>
      <c r="H21" s="44"/>
      <c r="I21" s="82"/>
      <c r="J21" s="38"/>
      <c r="K21" s="28"/>
      <c r="L21" s="28"/>
      <c r="M21" s="28"/>
      <c r="N21" s="82"/>
      <c r="O21" s="38"/>
      <c r="P21" s="38"/>
      <c r="Q21" s="38"/>
      <c r="R21" s="38"/>
      <c r="S21" s="38"/>
      <c r="T21" s="38"/>
      <c r="U21" s="19"/>
      <c r="W21" s="145" t="s">
        <v>88</v>
      </c>
      <c r="X21" s="146"/>
      <c r="Y21" s="145"/>
      <c r="Z21" s="98">
        <f t="shared" si="19"/>
        <v>0</v>
      </c>
      <c r="AA21" s="146"/>
      <c r="AB21" s="22">
        <f t="shared" si="8"/>
        <v>0</v>
      </c>
      <c r="AC21" s="126">
        <f t="shared" si="20"/>
        <v>0</v>
      </c>
      <c r="AD21" s="121" t="e">
        <f t="shared" si="14"/>
        <v>#DIV/0!</v>
      </c>
      <c r="AE21" s="100">
        <f>AK20+AC21</f>
        <v>43638.789035087713</v>
      </c>
      <c r="AF21" s="108" t="str">
        <f>VLOOKUP(AJ21,AN$4:AO$10,2)</f>
        <v>S</v>
      </c>
      <c r="AG21" s="99">
        <f>(ROUNDUP(AC21,0)-AC21)</f>
        <v>0</v>
      </c>
      <c r="AH21" s="158"/>
      <c r="AI21" s="158"/>
      <c r="AJ21" s="27">
        <f>WEEKDAY(AE21)</f>
        <v>7</v>
      </c>
      <c r="AK21" s="100">
        <f>AE21+IF(AH21&gt;0,AG21,0)+IF(AI21&gt;0,AI21,0)</f>
        <v>43638.789035087713</v>
      </c>
      <c r="AL21" s="37"/>
      <c r="AM21" s="37"/>
      <c r="AQ21" s="145" t="s">
        <v>88</v>
      </c>
      <c r="AR21" s="146"/>
      <c r="AS21" s="145"/>
      <c r="AT21" s="98">
        <f t="shared" si="15"/>
        <v>0</v>
      </c>
      <c r="AU21" s="146"/>
      <c r="AV21" s="98">
        <f t="shared" si="17"/>
        <v>565</v>
      </c>
      <c r="AW21" s="22">
        <f t="shared" si="9"/>
        <v>0</v>
      </c>
      <c r="AX21" s="126">
        <f t="shared" si="1"/>
        <v>0</v>
      </c>
      <c r="AY21" s="121" t="e">
        <f t="shared" si="16"/>
        <v>#DIV/0!</v>
      </c>
      <c r="AZ21" s="100">
        <f>BF20+AX21</f>
        <v>43638.789035087713</v>
      </c>
      <c r="BA21" s="108" t="str">
        <f>VLOOKUP(BE21,BI$4:BJ$10,2)</f>
        <v>S</v>
      </c>
      <c r="BB21" s="99">
        <f>(ROUNDUP(AX21,0)-AX21)</f>
        <v>0</v>
      </c>
      <c r="BC21" s="158"/>
      <c r="BD21" s="158"/>
      <c r="BE21" s="27">
        <f t="shared" si="18"/>
        <v>7</v>
      </c>
      <c r="BF21" s="100">
        <f>AZ21+IF(BC21&gt;0,BB21,0)+IF(BD21&gt;0,BD21,0)</f>
        <v>43638.789035087713</v>
      </c>
      <c r="BG21" s="37"/>
      <c r="BH21" s="37"/>
    </row>
    <row r="22" spans="1:62" ht="15" x14ac:dyDescent="0.2">
      <c r="A22" s="38"/>
      <c r="B22" s="65"/>
      <c r="C22" s="66"/>
      <c r="D22" s="66"/>
      <c r="E22" s="96"/>
      <c r="F22" s="67"/>
      <c r="G22" s="97"/>
      <c r="H22" s="44"/>
      <c r="I22" s="82"/>
      <c r="J22" s="38"/>
      <c r="K22" s="28"/>
      <c r="L22" s="28"/>
      <c r="M22" s="28"/>
      <c r="N22" s="82"/>
      <c r="O22" s="38"/>
      <c r="P22" s="38"/>
      <c r="Q22" s="38"/>
      <c r="R22" s="38"/>
      <c r="S22" s="38"/>
      <c r="T22" s="38"/>
      <c r="U22" s="19"/>
      <c r="W22" s="145" t="s">
        <v>89</v>
      </c>
      <c r="X22" s="146"/>
      <c r="Y22" s="145"/>
      <c r="Z22" s="98">
        <f t="shared" si="19"/>
        <v>0</v>
      </c>
      <c r="AA22" s="146"/>
      <c r="AB22" s="22">
        <f t="shared" si="8"/>
        <v>0</v>
      </c>
      <c r="AC22" s="126">
        <f t="shared" si="20"/>
        <v>0</v>
      </c>
      <c r="AD22" s="121" t="e">
        <f t="shared" si="14"/>
        <v>#DIV/0!</v>
      </c>
      <c r="AE22" s="100">
        <f>AK21+AC22</f>
        <v>43638.789035087713</v>
      </c>
      <c r="AF22" s="108" t="str">
        <f>VLOOKUP(AJ22,AN$4:AO$10,2)</f>
        <v>S</v>
      </c>
      <c r="AG22" s="99">
        <f>(ROUNDUP(AC22,0)-AC22)</f>
        <v>0</v>
      </c>
      <c r="AH22" s="158"/>
      <c r="AI22" s="158"/>
      <c r="AJ22" s="27">
        <f>WEEKDAY(AE22)</f>
        <v>7</v>
      </c>
      <c r="AK22" s="100">
        <f>AE22+IF(AH22&gt;0,AG22,0)+IF(AI22&gt;0,AI22,0)</f>
        <v>43638.789035087713</v>
      </c>
      <c r="AL22" s="37"/>
      <c r="AM22" s="37"/>
      <c r="AQ22" s="145" t="s">
        <v>89</v>
      </c>
      <c r="AR22" s="146"/>
      <c r="AS22" s="145"/>
      <c r="AT22" s="98">
        <f t="shared" si="15"/>
        <v>0</v>
      </c>
      <c r="AU22" s="146"/>
      <c r="AV22" s="98">
        <f t="shared" si="17"/>
        <v>565</v>
      </c>
      <c r="AW22" s="22">
        <f t="shared" si="9"/>
        <v>0</v>
      </c>
      <c r="AX22" s="126">
        <f t="shared" si="1"/>
        <v>0</v>
      </c>
      <c r="AY22" s="121" t="e">
        <f t="shared" si="16"/>
        <v>#DIV/0!</v>
      </c>
      <c r="AZ22" s="100">
        <f>BF21+AX22</f>
        <v>43638.789035087713</v>
      </c>
      <c r="BA22" s="108" t="str">
        <f>VLOOKUP(BE22,BI$4:BJ$10,2)</f>
        <v>S</v>
      </c>
      <c r="BB22" s="99">
        <f>(ROUNDUP(AX22,0)-AX22)</f>
        <v>0</v>
      </c>
      <c r="BC22" s="158"/>
      <c r="BD22" s="158"/>
      <c r="BE22" s="27">
        <f t="shared" si="18"/>
        <v>7</v>
      </c>
      <c r="BF22" s="100">
        <f>AZ22+IF(BC22&gt;0,BB22,0)+IF(BD22&gt;0,BD22,0)</f>
        <v>43638.789035087713</v>
      </c>
      <c r="BG22" s="37"/>
      <c r="BH22" s="37"/>
    </row>
    <row r="23" spans="1:62" ht="15" x14ac:dyDescent="0.2">
      <c r="A23" s="38"/>
      <c r="B23" s="65"/>
      <c r="C23" s="66"/>
      <c r="D23" s="66"/>
      <c r="E23" s="96"/>
      <c r="F23" s="67"/>
      <c r="G23" s="97"/>
      <c r="H23" s="44"/>
      <c r="I23" s="82"/>
      <c r="J23" s="38"/>
      <c r="K23" s="28"/>
      <c r="L23" s="28"/>
      <c r="M23" s="28"/>
      <c r="N23" s="82"/>
      <c r="O23" s="38"/>
      <c r="P23" s="38"/>
      <c r="Q23" s="38"/>
      <c r="R23" s="38"/>
      <c r="S23" s="38"/>
      <c r="T23" s="38"/>
      <c r="U23" s="19"/>
      <c r="W23" s="145" t="s">
        <v>90</v>
      </c>
      <c r="X23" s="146"/>
      <c r="Y23" s="145"/>
      <c r="Z23" s="98">
        <f t="shared" si="19"/>
        <v>0</v>
      </c>
      <c r="AA23" s="146"/>
      <c r="AB23" s="22">
        <f t="shared" si="8"/>
        <v>0</v>
      </c>
      <c r="AC23" s="126">
        <f t="shared" si="20"/>
        <v>0</v>
      </c>
      <c r="AD23" s="121" t="e">
        <f t="shared" si="14"/>
        <v>#DIV/0!</v>
      </c>
      <c r="AE23" s="100">
        <f>AK22+AC23</f>
        <v>43638.789035087713</v>
      </c>
      <c r="AF23" s="108" t="str">
        <f>VLOOKUP(AJ23,AN$4:AO$10,2)</f>
        <v>S</v>
      </c>
      <c r="AG23" s="99">
        <f>(ROUNDUP(AC23,0)-AC23)</f>
        <v>0</v>
      </c>
      <c r="AH23" s="159"/>
      <c r="AI23" s="159"/>
      <c r="AJ23" s="27">
        <f>WEEKDAY(AE23)</f>
        <v>7</v>
      </c>
      <c r="AK23" s="100">
        <f>AE23+IF(AH23&gt;0,AG23,0)+IF(AI23&gt;0,AI23,0)</f>
        <v>43638.789035087713</v>
      </c>
      <c r="AL23" s="37"/>
      <c r="AM23" s="37"/>
      <c r="AQ23" s="145" t="s">
        <v>90</v>
      </c>
      <c r="AR23" s="146"/>
      <c r="AS23" s="145"/>
      <c r="AT23" s="98">
        <f t="shared" si="15"/>
        <v>0</v>
      </c>
      <c r="AU23" s="146"/>
      <c r="AV23" s="98">
        <f t="shared" si="17"/>
        <v>565</v>
      </c>
      <c r="AW23" s="22">
        <f t="shared" si="9"/>
        <v>0</v>
      </c>
      <c r="AX23" s="126">
        <f t="shared" si="1"/>
        <v>0</v>
      </c>
      <c r="AY23" s="121" t="e">
        <f t="shared" si="16"/>
        <v>#DIV/0!</v>
      </c>
      <c r="AZ23" s="100">
        <f>BF22+AX23</f>
        <v>43638.789035087713</v>
      </c>
      <c r="BA23" s="108" t="str">
        <f>VLOOKUP(BE23,BI$4:BJ$10,2)</f>
        <v>S</v>
      </c>
      <c r="BB23" s="99">
        <f>(ROUNDUP(AX23,0)-AX23)</f>
        <v>0</v>
      </c>
      <c r="BC23" s="159"/>
      <c r="BD23" s="159"/>
      <c r="BE23" s="27">
        <f t="shared" si="18"/>
        <v>7</v>
      </c>
      <c r="BF23" s="100">
        <f>AZ23+IF(BC23&gt;0,BB23,0)+IF(BD23&gt;0,BD23,0)</f>
        <v>43638.789035087713</v>
      </c>
      <c r="BG23" s="37"/>
      <c r="BH23" s="37"/>
    </row>
    <row r="24" spans="1:62" ht="15" x14ac:dyDescent="0.2">
      <c r="A24" s="38"/>
      <c r="B24" s="65"/>
      <c r="C24" s="66"/>
      <c r="D24" s="66"/>
      <c r="E24" s="96"/>
      <c r="F24" s="67"/>
      <c r="G24" s="97"/>
      <c r="H24" s="44"/>
      <c r="I24" s="82"/>
      <c r="J24" s="38"/>
      <c r="K24" s="28"/>
      <c r="L24" s="28"/>
      <c r="M24" s="28"/>
      <c r="N24" s="82"/>
      <c r="O24" s="38"/>
      <c r="P24" s="38"/>
      <c r="Q24" s="38"/>
      <c r="R24" s="38"/>
      <c r="S24" s="38"/>
      <c r="T24" s="38"/>
      <c r="U24" s="19"/>
      <c r="W24" s="145" t="s">
        <v>91</v>
      </c>
      <c r="X24" s="146"/>
      <c r="Y24" s="145"/>
      <c r="Z24" s="98">
        <f t="shared" si="19"/>
        <v>0</v>
      </c>
      <c r="AA24" s="146"/>
      <c r="AB24" s="22">
        <f t="shared" si="8"/>
        <v>0</v>
      </c>
      <c r="AC24" s="126">
        <f t="shared" si="20"/>
        <v>0</v>
      </c>
      <c r="AD24" s="121" t="e">
        <f t="shared" si="14"/>
        <v>#DIV/0!</v>
      </c>
      <c r="AE24" s="100">
        <f>AK23+AC24</f>
        <v>43638.789035087713</v>
      </c>
      <c r="AF24" s="108" t="str">
        <f>VLOOKUP(AJ24,AN$4:AO$10,2)</f>
        <v>S</v>
      </c>
      <c r="AG24" s="99">
        <f>(ROUNDUP(AC24,0)-AC24)</f>
        <v>0</v>
      </c>
      <c r="AH24" s="159"/>
      <c r="AI24" s="159"/>
      <c r="AJ24" s="27">
        <f>WEEKDAY(AE24)</f>
        <v>7</v>
      </c>
      <c r="AK24" s="100">
        <f>AE24+IF(AH24&gt;0,AG24,0)+IF(AI24&gt;0,AI24,0)</f>
        <v>43638.789035087713</v>
      </c>
      <c r="AL24" s="37"/>
      <c r="AM24" s="37"/>
      <c r="AQ24" s="145" t="s">
        <v>91</v>
      </c>
      <c r="AR24" s="146"/>
      <c r="AS24" s="145"/>
      <c r="AT24" s="98">
        <f t="shared" si="15"/>
        <v>0</v>
      </c>
      <c r="AU24" s="146"/>
      <c r="AV24" s="98">
        <f t="shared" si="17"/>
        <v>565</v>
      </c>
      <c r="AW24" s="22">
        <f t="shared" si="9"/>
        <v>0</v>
      </c>
      <c r="AX24" s="126">
        <f t="shared" si="1"/>
        <v>0</v>
      </c>
      <c r="AY24" s="121" t="e">
        <f t="shared" si="16"/>
        <v>#DIV/0!</v>
      </c>
      <c r="AZ24" s="100">
        <f>BF23+AX24</f>
        <v>43638.789035087713</v>
      </c>
      <c r="BA24" s="108" t="str">
        <f>VLOOKUP(BE24,BI$4:BJ$10,2)</f>
        <v>S</v>
      </c>
      <c r="BB24" s="99">
        <f>(ROUNDUP(AX24,0)-AX24)</f>
        <v>0</v>
      </c>
      <c r="BC24" s="159"/>
      <c r="BD24" s="159"/>
      <c r="BE24" s="27">
        <f t="shared" si="18"/>
        <v>7</v>
      </c>
      <c r="BF24" s="100">
        <f>AZ24+IF(BC24&gt;0,BB24,0)+IF(BD24&gt;0,BD24,0)</f>
        <v>43638.789035087713</v>
      </c>
      <c r="BG24" s="37"/>
      <c r="BH24" s="37"/>
    </row>
    <row r="25" spans="1:62" ht="15" x14ac:dyDescent="0.2">
      <c r="A25" s="38"/>
      <c r="B25" s="65"/>
      <c r="C25" s="66"/>
      <c r="D25" s="66"/>
      <c r="E25" s="96"/>
      <c r="F25" s="67"/>
      <c r="G25" s="97"/>
      <c r="H25" s="44"/>
      <c r="I25" s="82"/>
      <c r="J25" s="38"/>
      <c r="K25" s="28"/>
      <c r="L25" s="28"/>
      <c r="M25" s="28"/>
      <c r="N25" s="82"/>
      <c r="O25" s="38"/>
      <c r="P25" s="38"/>
      <c r="Q25" s="38"/>
      <c r="R25" s="38"/>
      <c r="S25" s="38"/>
      <c r="T25" s="38"/>
      <c r="U25" s="19"/>
      <c r="W25" s="145" t="s">
        <v>92</v>
      </c>
      <c r="X25" s="146"/>
      <c r="Y25" s="145"/>
      <c r="Z25" s="98">
        <f t="shared" si="19"/>
        <v>0</v>
      </c>
      <c r="AA25" s="146"/>
      <c r="AB25" s="22">
        <f t="shared" si="8"/>
        <v>0</v>
      </c>
      <c r="AC25" s="126">
        <f t="shared" si="20"/>
        <v>0</v>
      </c>
      <c r="AD25" s="121" t="e">
        <f t="shared" si="14"/>
        <v>#DIV/0!</v>
      </c>
      <c r="AE25" s="100">
        <f>AK24+AC25</f>
        <v>43638.789035087713</v>
      </c>
      <c r="AF25" s="108" t="str">
        <f>VLOOKUP(AJ25,AN$4:AO$10,2)</f>
        <v>S</v>
      </c>
      <c r="AG25" s="99">
        <f>(ROUNDUP(AC25,0)-AC25)</f>
        <v>0</v>
      </c>
      <c r="AH25" s="159"/>
      <c r="AI25" s="159"/>
      <c r="AJ25" s="27">
        <f>WEEKDAY(AE25)</f>
        <v>7</v>
      </c>
      <c r="AK25" s="100">
        <f>AE25+IF(AH25&gt;0,AG25,0)+IF(AI25&gt;0,AI25,0)</f>
        <v>43638.789035087713</v>
      </c>
      <c r="AL25" s="37"/>
      <c r="AM25" s="37"/>
      <c r="AQ25" s="145" t="s">
        <v>92</v>
      </c>
      <c r="AR25" s="146"/>
      <c r="AS25" s="145"/>
      <c r="AT25" s="98">
        <f t="shared" si="15"/>
        <v>0</v>
      </c>
      <c r="AU25" s="146"/>
      <c r="AV25" s="98">
        <f t="shared" si="17"/>
        <v>565</v>
      </c>
      <c r="AW25" s="22">
        <f t="shared" si="9"/>
        <v>0</v>
      </c>
      <c r="AX25" s="126">
        <f t="shared" si="1"/>
        <v>0</v>
      </c>
      <c r="AY25" s="121" t="e">
        <f t="shared" si="16"/>
        <v>#DIV/0!</v>
      </c>
      <c r="AZ25" s="100">
        <f>BF24+AX25</f>
        <v>43638.789035087713</v>
      </c>
      <c r="BA25" s="108" t="str">
        <f>VLOOKUP(BE25,BI$4:BJ$10,2)</f>
        <v>S</v>
      </c>
      <c r="BB25" s="99">
        <f>(ROUNDUP(AX25,0)-AX25)</f>
        <v>0</v>
      </c>
      <c r="BC25" s="159"/>
      <c r="BD25" s="159"/>
      <c r="BE25" s="27">
        <f t="shared" si="18"/>
        <v>7</v>
      </c>
      <c r="BF25" s="100">
        <f>AZ25+IF(BC25&gt;0,BB25,0)+IF(BD25&gt;0,BD25,0)</f>
        <v>43638.789035087713</v>
      </c>
      <c r="BG25" s="37"/>
      <c r="BH25" s="37"/>
    </row>
    <row r="26" spans="1:62" ht="15" x14ac:dyDescent="0.2">
      <c r="A26" s="38"/>
      <c r="B26" s="65"/>
      <c r="C26" s="66"/>
      <c r="D26" s="66"/>
      <c r="E26" s="96"/>
      <c r="F26" s="67"/>
      <c r="G26" s="97"/>
      <c r="H26" s="44"/>
      <c r="I26" s="82"/>
      <c r="J26" s="38"/>
      <c r="K26" s="28"/>
      <c r="L26" s="28"/>
      <c r="M26" s="28"/>
      <c r="N26" s="82"/>
      <c r="O26" s="38"/>
      <c r="P26" s="38"/>
      <c r="Q26" s="38"/>
      <c r="R26" s="38"/>
      <c r="S26" s="38"/>
      <c r="T26" s="38"/>
      <c r="U26" s="19"/>
      <c r="W26" s="145" t="s">
        <v>93</v>
      </c>
      <c r="X26" s="146"/>
      <c r="Y26" s="145"/>
      <c r="Z26" s="98">
        <f t="shared" si="19"/>
        <v>0</v>
      </c>
      <c r="AA26" s="146"/>
      <c r="AB26" s="22">
        <f t="shared" si="8"/>
        <v>0</v>
      </c>
      <c r="AC26" s="126">
        <f t="shared" si="20"/>
        <v>0</v>
      </c>
      <c r="AD26" s="121" t="e">
        <f t="shared" si="14"/>
        <v>#DIV/0!</v>
      </c>
      <c r="AE26" s="100">
        <f>AK25+AC26</f>
        <v>43638.789035087713</v>
      </c>
      <c r="AF26" s="108" t="str">
        <f>VLOOKUP(AJ26,AN$4:AO$10,2)</f>
        <v>S</v>
      </c>
      <c r="AG26" s="99">
        <f>(ROUNDUP(AC26,0)-AC26)</f>
        <v>0</v>
      </c>
      <c r="AH26" s="158"/>
      <c r="AI26" s="158"/>
      <c r="AJ26" s="27">
        <f>WEEKDAY(AE26)</f>
        <v>7</v>
      </c>
      <c r="AK26" s="100">
        <f>AE26+IF(AH26&gt;0,AG26,0)+IF(AI26&gt;0,AI26,0)</f>
        <v>43638.789035087713</v>
      </c>
      <c r="AL26" s="37"/>
      <c r="AM26" s="37"/>
      <c r="AQ26" s="145" t="s">
        <v>93</v>
      </c>
      <c r="AR26" s="146"/>
      <c r="AS26" s="145"/>
      <c r="AT26" s="98">
        <f t="shared" si="15"/>
        <v>0</v>
      </c>
      <c r="AU26" s="146"/>
      <c r="AV26" s="98">
        <f t="shared" si="17"/>
        <v>565</v>
      </c>
      <c r="AW26" s="22">
        <f t="shared" si="9"/>
        <v>0</v>
      </c>
      <c r="AX26" s="126">
        <f t="shared" si="1"/>
        <v>0</v>
      </c>
      <c r="AY26" s="121" t="e">
        <f t="shared" si="16"/>
        <v>#DIV/0!</v>
      </c>
      <c r="AZ26" s="100">
        <f>BF25+AX26</f>
        <v>43638.789035087713</v>
      </c>
      <c r="BA26" s="108" t="str">
        <f>VLOOKUP(BE26,BI$4:BJ$10,2)</f>
        <v>S</v>
      </c>
      <c r="BB26" s="99">
        <f>(ROUNDUP(AX26,0)-AX26)</f>
        <v>0</v>
      </c>
      <c r="BC26" s="158"/>
      <c r="BD26" s="158"/>
      <c r="BE26" s="27">
        <f t="shared" si="18"/>
        <v>7</v>
      </c>
      <c r="BF26" s="100">
        <f>AZ26+IF(BC26&gt;0,BB26,0)+IF(BD26&gt;0,BD26,0)</f>
        <v>43638.789035087713</v>
      </c>
      <c r="BG26" s="37"/>
      <c r="BH26" s="37"/>
    </row>
    <row r="27" spans="1:62" ht="15" x14ac:dyDescent="0.2">
      <c r="A27" s="38"/>
      <c r="B27" s="65"/>
      <c r="C27" s="66"/>
      <c r="D27" s="66"/>
      <c r="E27" s="96"/>
      <c r="F27" s="67"/>
      <c r="G27" s="97"/>
      <c r="H27" s="44"/>
      <c r="I27" s="82"/>
      <c r="J27" s="38"/>
      <c r="K27" s="28"/>
      <c r="L27" s="28"/>
      <c r="M27" s="28"/>
      <c r="N27" s="82"/>
      <c r="O27" s="38"/>
      <c r="P27" s="38"/>
      <c r="Q27" s="38"/>
      <c r="R27" s="38"/>
      <c r="S27" s="38"/>
      <c r="T27" s="38"/>
      <c r="U27" s="19"/>
      <c r="W27" s="145" t="s">
        <v>94</v>
      </c>
      <c r="X27" s="146"/>
      <c r="Y27" s="145"/>
      <c r="Z27" s="98">
        <f t="shared" si="19"/>
        <v>0</v>
      </c>
      <c r="AA27" s="146"/>
      <c r="AB27" s="22">
        <f t="shared" si="8"/>
        <v>0</v>
      </c>
      <c r="AC27" s="126">
        <f t="shared" si="20"/>
        <v>0</v>
      </c>
      <c r="AD27" s="121" t="e">
        <f t="shared" si="14"/>
        <v>#DIV/0!</v>
      </c>
      <c r="AE27" s="100">
        <f>AK26+AC27</f>
        <v>43638.789035087713</v>
      </c>
      <c r="AF27" s="108" t="str">
        <f>VLOOKUP(AJ27,AN$4:AO$10,2)</f>
        <v>S</v>
      </c>
      <c r="AG27" s="99">
        <f>(ROUNDUP(AC27,0)-AC27)</f>
        <v>0</v>
      </c>
      <c r="AH27" s="158"/>
      <c r="AI27" s="158"/>
      <c r="AJ27" s="27">
        <f>WEEKDAY(AE27)</f>
        <v>7</v>
      </c>
      <c r="AK27" s="100">
        <f>AE27+IF(AH27&gt;0,AG27,0)+IF(AI27&gt;0,AI27,0)</f>
        <v>43638.789035087713</v>
      </c>
      <c r="AL27" s="37"/>
      <c r="AM27" s="37"/>
      <c r="AQ27" s="145" t="s">
        <v>94</v>
      </c>
      <c r="AR27" s="146"/>
      <c r="AS27" s="145"/>
      <c r="AT27" s="98">
        <f t="shared" si="15"/>
        <v>0</v>
      </c>
      <c r="AU27" s="146"/>
      <c r="AV27" s="98">
        <f t="shared" si="17"/>
        <v>565</v>
      </c>
      <c r="AW27" s="22">
        <f t="shared" si="9"/>
        <v>0</v>
      </c>
      <c r="AX27" s="126">
        <f t="shared" si="1"/>
        <v>0</v>
      </c>
      <c r="AY27" s="121" t="e">
        <f t="shared" si="16"/>
        <v>#DIV/0!</v>
      </c>
      <c r="AZ27" s="100">
        <f>BF26+AX27</f>
        <v>43638.789035087713</v>
      </c>
      <c r="BA27" s="108" t="str">
        <f>VLOOKUP(BE27,BI$4:BJ$10,2)</f>
        <v>S</v>
      </c>
      <c r="BB27" s="99">
        <f>(ROUNDUP(AX27,0)-AX27)</f>
        <v>0</v>
      </c>
      <c r="BC27" s="158"/>
      <c r="BD27" s="158"/>
      <c r="BE27" s="27">
        <f t="shared" si="18"/>
        <v>7</v>
      </c>
      <c r="BF27" s="100">
        <f>AZ27+IF(BC27&gt;0,BB27,0)+IF(BD27&gt;0,BD27,0)</f>
        <v>43638.789035087713</v>
      </c>
      <c r="BG27" s="37"/>
      <c r="BH27" s="37"/>
    </row>
    <row r="28" spans="1:62" ht="15" x14ac:dyDescent="0.2">
      <c r="A28" s="38"/>
      <c r="B28" s="65"/>
      <c r="C28" s="66"/>
      <c r="D28" s="66"/>
      <c r="E28" s="96"/>
      <c r="F28" s="67"/>
      <c r="G28" s="97"/>
      <c r="H28" s="44"/>
      <c r="I28" s="82"/>
      <c r="J28" s="38"/>
      <c r="K28" s="28"/>
      <c r="L28" s="28"/>
      <c r="M28" s="28"/>
      <c r="N28" s="82"/>
      <c r="O28" s="38"/>
      <c r="P28" s="38"/>
      <c r="Q28" s="38"/>
      <c r="R28" s="38"/>
      <c r="S28" s="38"/>
      <c r="T28" s="38"/>
      <c r="U28" s="19"/>
      <c r="W28" s="145" t="s">
        <v>95</v>
      </c>
      <c r="X28" s="146"/>
      <c r="Y28" s="145"/>
      <c r="Z28" s="98">
        <f t="shared" si="19"/>
        <v>0</v>
      </c>
      <c r="AA28" s="146"/>
      <c r="AB28" s="22">
        <f t="shared" si="8"/>
        <v>0</v>
      </c>
      <c r="AC28" s="126">
        <f t="shared" si="20"/>
        <v>0</v>
      </c>
      <c r="AD28" s="121" t="e">
        <f t="shared" si="14"/>
        <v>#DIV/0!</v>
      </c>
      <c r="AE28" s="100">
        <f>AK27+AC28</f>
        <v>43638.789035087713</v>
      </c>
      <c r="AF28" s="108" t="str">
        <f>VLOOKUP(AJ28,AN$4:AO$10,2)</f>
        <v>S</v>
      </c>
      <c r="AG28" s="99">
        <f>(ROUNDUP(AC28,0)-AC28)</f>
        <v>0</v>
      </c>
      <c r="AH28" s="158"/>
      <c r="AI28" s="158"/>
      <c r="AJ28" s="27">
        <f>WEEKDAY(AE28)</f>
        <v>7</v>
      </c>
      <c r="AK28" s="100">
        <f>AE28+IF(AH28&gt;0,AG28,0)+IF(AI28&gt;0,AI28,0)</f>
        <v>43638.789035087713</v>
      </c>
      <c r="AL28" s="37"/>
      <c r="AM28" s="37"/>
      <c r="AQ28" s="145" t="s">
        <v>95</v>
      </c>
      <c r="AR28" s="146"/>
      <c r="AS28" s="145"/>
      <c r="AT28" s="98">
        <f t="shared" si="15"/>
        <v>0</v>
      </c>
      <c r="AU28" s="146"/>
      <c r="AV28" s="98">
        <f t="shared" si="17"/>
        <v>565</v>
      </c>
      <c r="AW28" s="22">
        <f t="shared" si="9"/>
        <v>0</v>
      </c>
      <c r="AX28" s="126">
        <f t="shared" si="1"/>
        <v>0</v>
      </c>
      <c r="AY28" s="121" t="e">
        <f t="shared" si="16"/>
        <v>#DIV/0!</v>
      </c>
      <c r="AZ28" s="100">
        <f>BF27+AX28</f>
        <v>43638.789035087713</v>
      </c>
      <c r="BA28" s="108" t="str">
        <f>VLOOKUP(BE28,BI$4:BJ$10,2)</f>
        <v>S</v>
      </c>
      <c r="BB28" s="99">
        <f>(ROUNDUP(AX28,0)-AX28)</f>
        <v>0</v>
      </c>
      <c r="BC28" s="158"/>
      <c r="BD28" s="158"/>
      <c r="BE28" s="27">
        <f t="shared" si="18"/>
        <v>7</v>
      </c>
      <c r="BF28" s="100">
        <f>AZ28+IF(BC28&gt;0,BB28,0)+IF(BD28&gt;0,BD28,0)</f>
        <v>43638.789035087713</v>
      </c>
      <c r="BG28" s="37"/>
      <c r="BH28" s="37"/>
    </row>
    <row r="29" spans="1:62" ht="15" x14ac:dyDescent="0.2">
      <c r="A29" s="38"/>
      <c r="B29" s="65"/>
      <c r="C29" s="66"/>
      <c r="D29" s="66"/>
      <c r="E29" s="96"/>
      <c r="F29" s="67"/>
      <c r="G29" s="97"/>
      <c r="H29" s="44"/>
      <c r="I29" s="82"/>
      <c r="J29" s="38"/>
      <c r="K29" s="28"/>
      <c r="L29" s="28"/>
      <c r="M29" s="28"/>
      <c r="N29" s="82"/>
      <c r="O29" s="38"/>
      <c r="P29" s="38"/>
      <c r="Q29" s="38"/>
      <c r="R29" s="38"/>
      <c r="S29" s="38"/>
      <c r="T29" s="38"/>
      <c r="U29" s="19"/>
      <c r="W29" s="145" t="s">
        <v>96</v>
      </c>
      <c r="X29" s="146"/>
      <c r="Y29" s="145"/>
      <c r="Z29" s="98">
        <f t="shared" si="19"/>
        <v>0</v>
      </c>
      <c r="AA29" s="146"/>
      <c r="AB29" s="22">
        <f t="shared" si="8"/>
        <v>0</v>
      </c>
      <c r="AC29" s="126">
        <f>AB29/AC$2</f>
        <v>0</v>
      </c>
      <c r="AD29" s="121" t="e">
        <f t="shared" si="14"/>
        <v>#DIV/0!</v>
      </c>
      <c r="AE29" s="100">
        <f>AK28+AC29</f>
        <v>43638.789035087713</v>
      </c>
      <c r="AF29" s="108" t="str">
        <f>VLOOKUP(AJ29,AN$4:AO$10,2)</f>
        <v>S</v>
      </c>
      <c r="AG29" s="99">
        <f>(ROUNDUP(AC29,0)-AC29)</f>
        <v>0</v>
      </c>
      <c r="AH29" s="159"/>
      <c r="AI29" s="159"/>
      <c r="AJ29" s="27">
        <f>WEEKDAY(AE29)</f>
        <v>7</v>
      </c>
      <c r="AK29" s="100">
        <f>AE29+IF(AH29&gt;0,AG29,0)+IF(AI29&gt;0,AI29,0)</f>
        <v>43638.789035087713</v>
      </c>
      <c r="AL29" s="37"/>
      <c r="AM29" s="37"/>
      <c r="AQ29" s="145" t="s">
        <v>96</v>
      </c>
      <c r="AR29" s="146"/>
      <c r="AS29" s="145"/>
      <c r="AT29" s="98">
        <f t="shared" si="15"/>
        <v>0</v>
      </c>
      <c r="AU29" s="146"/>
      <c r="AV29" s="98">
        <f t="shared" si="17"/>
        <v>565</v>
      </c>
      <c r="AW29" s="22">
        <f t="shared" si="9"/>
        <v>0</v>
      </c>
      <c r="AX29" s="126">
        <f t="shared" si="1"/>
        <v>0</v>
      </c>
      <c r="AY29" s="121" t="e">
        <f t="shared" si="16"/>
        <v>#DIV/0!</v>
      </c>
      <c r="AZ29" s="100">
        <f>BF28+AX29</f>
        <v>43638.789035087713</v>
      </c>
      <c r="BA29" s="108" t="str">
        <f>VLOOKUP(BE29,BI$4:BJ$10,2)</f>
        <v>S</v>
      </c>
      <c r="BB29" s="99">
        <f>(ROUNDUP(AX29,0)-AX29)</f>
        <v>0</v>
      </c>
      <c r="BC29" s="159"/>
      <c r="BD29" s="159"/>
      <c r="BE29" s="27">
        <f t="shared" si="18"/>
        <v>7</v>
      </c>
      <c r="BF29" s="100">
        <f>AZ29+IF(BC29&gt;0,BB29,0)+IF(BD29&gt;0,BD29,0)</f>
        <v>43638.789035087713</v>
      </c>
      <c r="BG29" s="37"/>
      <c r="BH29" s="37"/>
    </row>
    <row r="30" spans="1:62" ht="15" hidden="1" x14ac:dyDescent="0.2">
      <c r="A30" s="38"/>
      <c r="B30" s="65"/>
      <c r="C30" s="66"/>
      <c r="D30" s="66"/>
      <c r="E30" s="96"/>
      <c r="F30" s="67"/>
      <c r="G30" s="97"/>
      <c r="H30" s="44"/>
      <c r="I30" s="82"/>
      <c r="J30" s="38"/>
      <c r="K30" s="28"/>
      <c r="L30" s="28"/>
      <c r="M30" s="28"/>
      <c r="N30" s="82"/>
      <c r="O30" s="38"/>
      <c r="P30" s="38"/>
      <c r="Q30" s="38"/>
      <c r="R30" s="38"/>
      <c r="S30" s="38"/>
      <c r="T30" s="38"/>
      <c r="U30" s="19"/>
      <c r="W30" s="118" t="s">
        <v>97</v>
      </c>
      <c r="X30" s="119"/>
      <c r="Y30" s="118"/>
      <c r="Z30" s="93">
        <f>X30-X29+Y30</f>
        <v>0</v>
      </c>
      <c r="AA30" s="119"/>
      <c r="AB30" s="22">
        <f t="shared" si="8"/>
        <v>0</v>
      </c>
      <c r="AC30" s="126">
        <f t="shared" si="20"/>
        <v>0</v>
      </c>
      <c r="AD30" s="121" t="e">
        <f t="shared" si="14"/>
        <v>#DIV/0!</v>
      </c>
      <c r="AE30" s="100">
        <f>AK29+AC30</f>
        <v>43638.789035087713</v>
      </c>
      <c r="AF30" s="108" t="str">
        <f>VLOOKUP(AJ30,AN$4:AO$10,2)</f>
        <v>S</v>
      </c>
      <c r="AG30" s="108"/>
      <c r="AH30" s="32"/>
      <c r="AI30" s="32"/>
      <c r="AJ30" s="27">
        <f>WEEKDAY(AE30)</f>
        <v>7</v>
      </c>
      <c r="AK30" s="100">
        <f>AE30+IF(AH30&gt;0,#REF!,0)+IF(AI30&gt;0,AI30,0)</f>
        <v>43638.789035087713</v>
      </c>
      <c r="AL30" s="37"/>
      <c r="AM30" s="37"/>
      <c r="AQ30" s="118" t="s">
        <v>97</v>
      </c>
      <c r="AR30" s="119"/>
      <c r="AS30" s="118"/>
      <c r="AT30" s="93">
        <f>AR30-AR29+AS30</f>
        <v>0</v>
      </c>
      <c r="AU30" s="119"/>
      <c r="AV30" s="98"/>
      <c r="AW30" s="22">
        <f t="shared" si="9"/>
        <v>0</v>
      </c>
      <c r="AX30" s="126">
        <f t="shared" si="1"/>
        <v>0</v>
      </c>
      <c r="AY30" s="121" t="e">
        <f t="shared" si="16"/>
        <v>#DIV/0!</v>
      </c>
      <c r="AZ30" s="100">
        <f>BF29+AX30</f>
        <v>43638.789035087713</v>
      </c>
      <c r="BA30" s="108" t="str">
        <f>VLOOKUP(BE30,BI$4:BJ$10,2)</f>
        <v>S</v>
      </c>
      <c r="BB30" s="108"/>
      <c r="BC30" s="32"/>
      <c r="BD30" s="32"/>
      <c r="BE30" s="27">
        <f t="shared" si="18"/>
        <v>7</v>
      </c>
      <c r="BF30" s="100">
        <f>AZ30+IF(BC30&gt;0,#REF!,0)+IF(BD30&gt;0,BD30,0)</f>
        <v>43638.789035087713</v>
      </c>
      <c r="BG30" s="37"/>
      <c r="BH30" s="37"/>
    </row>
    <row r="31" spans="1:62" ht="15" hidden="1" x14ac:dyDescent="0.2">
      <c r="A31" s="38"/>
      <c r="B31" s="65"/>
      <c r="C31" s="66"/>
      <c r="D31" s="66"/>
      <c r="E31" s="96"/>
      <c r="F31" s="67"/>
      <c r="G31" s="97"/>
      <c r="H31" s="44"/>
      <c r="I31" s="82"/>
      <c r="J31" s="38"/>
      <c r="K31" s="28"/>
      <c r="L31" s="28"/>
      <c r="M31" s="28"/>
      <c r="N31" s="82"/>
      <c r="O31" s="38"/>
      <c r="P31" s="38"/>
      <c r="Q31" s="38"/>
      <c r="R31" s="38"/>
      <c r="S31" s="38"/>
      <c r="T31" s="38"/>
      <c r="U31" s="19"/>
      <c r="W31" s="118" t="s">
        <v>98</v>
      </c>
      <c r="X31" s="119"/>
      <c r="Y31" s="118"/>
      <c r="Z31" s="93">
        <f>X31-X30+Y31</f>
        <v>0</v>
      </c>
      <c r="AA31" s="119"/>
      <c r="AB31" s="22">
        <f t="shared" si="8"/>
        <v>0</v>
      </c>
      <c r="AC31" s="126">
        <f t="shared" si="20"/>
        <v>0</v>
      </c>
      <c r="AD31" s="121" t="e">
        <f t="shared" si="14"/>
        <v>#DIV/0!</v>
      </c>
      <c r="AE31" s="100">
        <f>AK30+AC31</f>
        <v>43638.789035087713</v>
      </c>
      <c r="AF31" s="108" t="str">
        <f>VLOOKUP(AJ31,AN$4:AO$10,2)</f>
        <v>S</v>
      </c>
      <c r="AG31" s="108"/>
      <c r="AH31" s="37"/>
      <c r="AI31" s="37"/>
      <c r="AJ31" s="27">
        <f>WEEKDAY(AE31)</f>
        <v>7</v>
      </c>
      <c r="AK31" s="100">
        <f>AE31+IF(AH31&gt;0,#REF!,0)+IF(AI31&gt;0,AI31,0)</f>
        <v>43638.789035087713</v>
      </c>
      <c r="AL31" s="37"/>
      <c r="AM31" s="37"/>
      <c r="AQ31" s="118" t="s">
        <v>98</v>
      </c>
      <c r="AR31" s="119"/>
      <c r="AS31" s="118"/>
      <c r="AT31" s="93">
        <f>AR31-AR30+AS31</f>
        <v>0</v>
      </c>
      <c r="AU31" s="119"/>
      <c r="AV31" s="98"/>
      <c r="AW31" s="22">
        <f t="shared" si="9"/>
        <v>0</v>
      </c>
      <c r="AX31" s="126">
        <f t="shared" si="1"/>
        <v>0</v>
      </c>
      <c r="AY31" s="121" t="e">
        <f t="shared" si="16"/>
        <v>#DIV/0!</v>
      </c>
      <c r="AZ31" s="100">
        <f>BF30+AX31</f>
        <v>43638.789035087713</v>
      </c>
      <c r="BA31" s="108" t="str">
        <f>VLOOKUP(BE31,BI$4:BJ$10,2)</f>
        <v>S</v>
      </c>
      <c r="BB31" s="108"/>
      <c r="BC31" s="37"/>
      <c r="BD31" s="37"/>
      <c r="BE31" s="27">
        <f t="shared" si="18"/>
        <v>7</v>
      </c>
      <c r="BF31" s="100">
        <f>AZ31+IF(BC31&gt;0,#REF!,0)+IF(BD31&gt;0,BD31,0)</f>
        <v>43638.789035087713</v>
      </c>
      <c r="BG31" s="37"/>
      <c r="BH31" s="37"/>
    </row>
    <row r="32" spans="1:62" ht="15" hidden="1" x14ac:dyDescent="0.2">
      <c r="A32" s="38"/>
      <c r="B32" s="65"/>
      <c r="C32" s="66"/>
      <c r="D32" s="66"/>
      <c r="E32" s="96"/>
      <c r="F32" s="67"/>
      <c r="G32" s="97"/>
      <c r="H32" s="44"/>
      <c r="I32" s="82"/>
      <c r="J32" s="38"/>
      <c r="K32" s="28"/>
      <c r="L32" s="28"/>
      <c r="M32" s="28"/>
      <c r="N32" s="82"/>
      <c r="O32" s="38"/>
      <c r="P32" s="38"/>
      <c r="Q32" s="38"/>
      <c r="R32" s="38"/>
      <c r="S32" s="38"/>
      <c r="T32" s="38"/>
      <c r="U32" s="19"/>
      <c r="W32" s="118" t="s">
        <v>99</v>
      </c>
      <c r="X32" s="119"/>
      <c r="Y32" s="118"/>
      <c r="Z32" s="93">
        <f>X32-X31+Y32</f>
        <v>0</v>
      </c>
      <c r="AA32" s="119"/>
      <c r="AB32" s="22">
        <f t="shared" si="8"/>
        <v>0</v>
      </c>
      <c r="AC32" s="126">
        <f t="shared" si="20"/>
        <v>0</v>
      </c>
      <c r="AD32" s="121" t="e">
        <f t="shared" si="14"/>
        <v>#DIV/0!</v>
      </c>
      <c r="AE32" s="100">
        <f>AK31+AC32</f>
        <v>43638.789035087713</v>
      </c>
      <c r="AF32" s="108" t="str">
        <f>VLOOKUP(AJ32,AN$4:AO$10,2)</f>
        <v>S</v>
      </c>
      <c r="AG32" s="108"/>
      <c r="AH32" s="37"/>
      <c r="AI32" s="37"/>
      <c r="AJ32" s="27">
        <f>WEEKDAY(AE32)</f>
        <v>7</v>
      </c>
      <c r="AK32" s="100">
        <f>AE32+IF(AH32&gt;0,#REF!,0)+IF(AI32&gt;0,AI32,0)</f>
        <v>43638.789035087713</v>
      </c>
      <c r="AL32" s="37"/>
      <c r="AM32" s="37"/>
      <c r="AQ32" s="118" t="s">
        <v>99</v>
      </c>
      <c r="AR32" s="119"/>
      <c r="AS32" s="118"/>
      <c r="AT32" s="93">
        <f>AR32-AR31+AS32</f>
        <v>0</v>
      </c>
      <c r="AU32" s="119"/>
      <c r="AV32" s="98"/>
      <c r="AW32" s="22">
        <f t="shared" si="9"/>
        <v>0</v>
      </c>
      <c r="AX32" s="126">
        <f t="shared" si="1"/>
        <v>0</v>
      </c>
      <c r="AY32" s="121" t="e">
        <f t="shared" si="16"/>
        <v>#DIV/0!</v>
      </c>
      <c r="AZ32" s="100">
        <f>BF31+AX32</f>
        <v>43638.789035087713</v>
      </c>
      <c r="BA32" s="108" t="str">
        <f>VLOOKUP(BE32,BI$4:BJ$10,2)</f>
        <v>S</v>
      </c>
      <c r="BB32" s="108"/>
      <c r="BC32" s="37"/>
      <c r="BD32" s="37"/>
      <c r="BE32" s="27">
        <f t="shared" si="18"/>
        <v>7</v>
      </c>
      <c r="BF32" s="100">
        <f>AZ32+IF(BC32&gt;0,#REF!,0)+IF(BD32&gt;0,BD32,0)</f>
        <v>43638.789035087713</v>
      </c>
      <c r="BG32" s="37"/>
      <c r="BH32" s="37"/>
    </row>
    <row r="33" spans="1:60" ht="15" hidden="1" x14ac:dyDescent="0.2">
      <c r="A33" s="38"/>
      <c r="B33" s="65"/>
      <c r="C33" s="66"/>
      <c r="D33" s="66"/>
      <c r="E33" s="96"/>
      <c r="F33" s="67"/>
      <c r="G33" s="97"/>
      <c r="H33" s="44"/>
      <c r="I33" s="82"/>
      <c r="J33" s="38"/>
      <c r="K33" s="28"/>
      <c r="L33" s="28"/>
      <c r="M33" s="28"/>
      <c r="N33" s="82"/>
      <c r="O33" s="38"/>
      <c r="P33" s="38"/>
      <c r="Q33" s="38"/>
      <c r="R33" s="38"/>
      <c r="S33" s="38"/>
      <c r="T33" s="38"/>
      <c r="U33" s="19"/>
      <c r="W33" s="118" t="s">
        <v>100</v>
      </c>
      <c r="X33" s="119"/>
      <c r="Y33" s="118"/>
      <c r="Z33" s="93">
        <f>X33-X32+Y33</f>
        <v>0</v>
      </c>
      <c r="AA33" s="119"/>
      <c r="AB33" s="22">
        <f t="shared" si="8"/>
        <v>0</v>
      </c>
      <c r="AC33" s="125">
        <f t="shared" si="20"/>
        <v>0</v>
      </c>
      <c r="AD33" s="121" t="e">
        <f t="shared" si="14"/>
        <v>#DIV/0!</v>
      </c>
      <c r="AE33" s="81">
        <f>AK32+AC33</f>
        <v>43638.789035087713</v>
      </c>
      <c r="AF33" s="108" t="str">
        <f>VLOOKUP(AJ33,AN$4:AO$10,2)</f>
        <v>S</v>
      </c>
      <c r="AG33" s="108"/>
      <c r="AH33" s="32"/>
      <c r="AI33" s="32"/>
      <c r="AJ33" s="27">
        <f>WEEKDAY(AE33)</f>
        <v>7</v>
      </c>
      <c r="AK33" s="100">
        <f>AE33+IF(AH33&gt;0,#REF!,0)+IF(AI33&gt;0,AI33,0)</f>
        <v>43638.789035087713</v>
      </c>
      <c r="AL33" s="37"/>
      <c r="AM33" s="37"/>
      <c r="AQ33" s="118" t="s">
        <v>100</v>
      </c>
      <c r="AR33" s="119"/>
      <c r="AS33" s="118"/>
      <c r="AT33" s="93">
        <f>AR33-AR32+AS33</f>
        <v>0</v>
      </c>
      <c r="AU33" s="119"/>
      <c r="AV33" s="98"/>
      <c r="AW33" s="22">
        <f t="shared" si="9"/>
        <v>0</v>
      </c>
      <c r="AX33" s="125">
        <f t="shared" si="1"/>
        <v>0</v>
      </c>
      <c r="AY33" s="121" t="e">
        <f t="shared" si="16"/>
        <v>#DIV/0!</v>
      </c>
      <c r="AZ33" s="81">
        <f>BF32+AX33</f>
        <v>43638.789035087713</v>
      </c>
      <c r="BA33" s="108" t="str">
        <f>VLOOKUP(BE33,BI$4:BJ$10,2)</f>
        <v>S</v>
      </c>
      <c r="BB33" s="108"/>
      <c r="BC33" s="32"/>
      <c r="BD33" s="32"/>
      <c r="BE33" s="27">
        <f t="shared" si="18"/>
        <v>7</v>
      </c>
      <c r="BF33" s="100">
        <f>AZ33+IF(BC33&gt;0,#REF!,0)+IF(BD33&gt;0,BD33,0)</f>
        <v>43638.789035087713</v>
      </c>
      <c r="BG33" s="37"/>
      <c r="BH33" s="37"/>
    </row>
    <row r="34" spans="1:60" ht="15" hidden="1" x14ac:dyDescent="0.2">
      <c r="A34" s="38"/>
      <c r="B34" s="65"/>
      <c r="C34" s="66"/>
      <c r="D34" s="66"/>
      <c r="E34" s="96"/>
      <c r="F34" s="67"/>
      <c r="G34" s="97"/>
      <c r="H34" s="44"/>
      <c r="I34" s="82"/>
      <c r="J34" s="38"/>
      <c r="K34" s="28"/>
      <c r="L34" s="28"/>
      <c r="M34" s="28"/>
      <c r="N34" s="82"/>
      <c r="O34" s="38"/>
      <c r="P34" s="38"/>
      <c r="Q34" s="38"/>
      <c r="R34" s="38"/>
      <c r="S34" s="38"/>
      <c r="T34" s="38"/>
      <c r="U34" s="19"/>
      <c r="W34" s="118" t="s">
        <v>101</v>
      </c>
      <c r="X34" s="119"/>
      <c r="Y34" s="118"/>
      <c r="Z34" s="93">
        <f>X34-X33+Y34</f>
        <v>0</v>
      </c>
      <c r="AA34" s="119"/>
      <c r="AB34" s="22">
        <f t="shared" si="8"/>
        <v>0</v>
      </c>
      <c r="AC34" s="125">
        <f t="shared" si="20"/>
        <v>0</v>
      </c>
      <c r="AD34" s="121" t="e">
        <f t="shared" si="14"/>
        <v>#DIV/0!</v>
      </c>
      <c r="AE34" s="81">
        <f>AK33+AC34</f>
        <v>43638.789035087713</v>
      </c>
      <c r="AF34" s="108" t="str">
        <f>VLOOKUP(AJ34,AN$4:AO$10,2)</f>
        <v>S</v>
      </c>
      <c r="AG34" s="108"/>
      <c r="AH34" s="32"/>
      <c r="AI34" s="32"/>
      <c r="AJ34" s="27">
        <f>WEEKDAY(AE34)</f>
        <v>7</v>
      </c>
      <c r="AK34" s="100">
        <f>AE34+IF(AH34&gt;0,#REF!,0)+IF(AI34&gt;0,AI34,0)</f>
        <v>43638.789035087713</v>
      </c>
      <c r="AL34" s="37"/>
      <c r="AM34" s="37"/>
      <c r="AQ34" s="118" t="s">
        <v>101</v>
      </c>
      <c r="AR34" s="119"/>
      <c r="AS34" s="118"/>
      <c r="AT34" s="93">
        <f>AR34-AR33+AS34</f>
        <v>0</v>
      </c>
      <c r="AU34" s="119"/>
      <c r="AV34" s="98"/>
      <c r="AW34" s="22">
        <f t="shared" si="9"/>
        <v>0</v>
      </c>
      <c r="AX34" s="125">
        <f t="shared" si="1"/>
        <v>0</v>
      </c>
      <c r="AY34" s="121" t="e">
        <f t="shared" si="16"/>
        <v>#DIV/0!</v>
      </c>
      <c r="AZ34" s="81">
        <f>BF33+AX34</f>
        <v>43638.789035087713</v>
      </c>
      <c r="BA34" s="108" t="str">
        <f>VLOOKUP(BE34,BI$4:BJ$10,2)</f>
        <v>S</v>
      </c>
      <c r="BB34" s="108"/>
      <c r="BC34" s="32"/>
      <c r="BD34" s="32"/>
      <c r="BE34" s="27">
        <f t="shared" si="18"/>
        <v>7</v>
      </c>
      <c r="BF34" s="100">
        <f>AZ34+IF(BC34&gt;0,#REF!,0)+IF(BD34&gt;0,BD34,0)</f>
        <v>43638.789035087713</v>
      </c>
      <c r="BG34" s="37"/>
      <c r="BH34" s="37"/>
    </row>
    <row r="35" spans="1:60" ht="15" x14ac:dyDescent="0.2">
      <c r="A35" s="38" t="s">
        <v>29</v>
      </c>
      <c r="B35" s="65" t="e">
        <f>D35*F47</f>
        <v>#REF!</v>
      </c>
      <c r="C35" s="66"/>
      <c r="D35" s="65" t="e">
        <f>SUM(D4:D7)</f>
        <v>#REF!</v>
      </c>
      <c r="E35" s="65">
        <f>E7/F46</f>
        <v>5852.1598127308862</v>
      </c>
      <c r="F35" s="67"/>
      <c r="G35" s="74" t="e">
        <f>G7/22</f>
        <v>#REF!</v>
      </c>
      <c r="H35" s="44"/>
      <c r="I35" s="82"/>
      <c r="J35" s="38"/>
      <c r="K35" s="38"/>
      <c r="L35" s="38"/>
      <c r="M35" s="28"/>
      <c r="N35" s="82"/>
      <c r="O35" s="38"/>
      <c r="P35" s="38"/>
      <c r="Q35" s="38"/>
      <c r="R35" s="38"/>
      <c r="S35" s="38"/>
      <c r="T35" s="38"/>
      <c r="U35" s="19"/>
      <c r="W35" s="92" t="s">
        <v>65</v>
      </c>
      <c r="X35" s="94">
        <f>SUM(Z5:Z34)</f>
        <v>565</v>
      </c>
      <c r="Y35" s="122" t="s">
        <v>53</v>
      </c>
      <c r="Z35" s="112"/>
      <c r="AA35" s="113"/>
      <c r="AB35" s="23"/>
      <c r="AC35" s="127"/>
      <c r="AD35" s="114"/>
      <c r="AE35" s="86"/>
      <c r="AF35" s="9"/>
      <c r="AG35" s="9"/>
      <c r="AH35" s="9"/>
      <c r="AI35" s="9"/>
      <c r="AJ35" s="9"/>
      <c r="AK35" s="12"/>
      <c r="AL35" s="52"/>
      <c r="AM35" s="39"/>
      <c r="AQ35" s="92" t="s">
        <v>65</v>
      </c>
      <c r="AR35" s="94">
        <f>SUM(AT5:AT34)</f>
        <v>565</v>
      </c>
      <c r="AS35" s="122" t="s">
        <v>53</v>
      </c>
      <c r="AT35" s="112"/>
      <c r="AU35" s="113"/>
      <c r="AV35" s="140"/>
      <c r="AW35" s="23"/>
      <c r="AX35" s="127"/>
      <c r="AY35" s="114"/>
      <c r="AZ35" s="86"/>
      <c r="BA35" s="9"/>
      <c r="BB35" s="9"/>
      <c r="BC35" s="9"/>
      <c r="BD35" s="9"/>
      <c r="BE35" s="9"/>
      <c r="BF35" s="12"/>
      <c r="BG35" s="52"/>
      <c r="BH35" s="39"/>
    </row>
    <row r="36" spans="1:60" ht="15" x14ac:dyDescent="0.2">
      <c r="A36" s="37" t="s">
        <v>31</v>
      </c>
      <c r="B36" s="61" t="e">
        <f>D35/G7</f>
        <v>#REF!</v>
      </c>
      <c r="C36" s="68"/>
      <c r="D36" s="68"/>
      <c r="E36" s="69">
        <f>E35/400</f>
        <v>14.630399531827216</v>
      </c>
      <c r="F36" s="70"/>
      <c r="G36" s="75"/>
      <c r="H36" s="45"/>
      <c r="I36" s="83"/>
      <c r="J36" s="39"/>
      <c r="K36" s="39"/>
      <c r="L36" s="39"/>
      <c r="M36" s="21"/>
      <c r="N36" s="83"/>
      <c r="O36" s="39"/>
      <c r="P36" s="39"/>
      <c r="Q36" s="39"/>
      <c r="R36" s="39"/>
      <c r="S36" s="39"/>
      <c r="T36" s="39"/>
      <c r="U36" s="20"/>
      <c r="W36" s="93" t="s">
        <v>66</v>
      </c>
      <c r="X36" s="8">
        <f>SUM(AA5:AA34)</f>
        <v>10777</v>
      </c>
      <c r="Y36" s="104" t="s">
        <v>40</v>
      </c>
      <c r="Z36" s="9"/>
      <c r="AA36" s="10"/>
      <c r="AB36" s="11"/>
      <c r="AC36" s="107"/>
      <c r="AD36" s="107"/>
      <c r="AE36" s="12"/>
      <c r="AF36" s="9"/>
      <c r="AG36" s="9"/>
      <c r="AH36" s="9"/>
      <c r="AI36" s="9"/>
      <c r="AJ36" s="9"/>
      <c r="AK36" s="12"/>
      <c r="AL36" s="9"/>
      <c r="AM36" s="9"/>
      <c r="AQ36" s="93" t="s">
        <v>66</v>
      </c>
      <c r="AR36" s="8">
        <f>SUM(AU5:AU34)</f>
        <v>10777</v>
      </c>
      <c r="AS36" s="104" t="s">
        <v>40</v>
      </c>
      <c r="AT36" s="9"/>
      <c r="AU36" s="10"/>
      <c r="AV36" s="141"/>
      <c r="AW36" s="11"/>
      <c r="AX36" s="107"/>
      <c r="AY36" s="107"/>
      <c r="AZ36" s="12"/>
      <c r="BA36" s="9"/>
      <c r="BB36" s="9"/>
      <c r="BC36" s="9"/>
      <c r="BD36" s="9"/>
      <c r="BE36" s="9"/>
      <c r="BF36" s="12"/>
      <c r="BG36" s="9"/>
      <c r="BH36" s="9"/>
    </row>
    <row r="37" spans="1:60" ht="15" x14ac:dyDescent="0.2">
      <c r="A37" s="37" t="s">
        <v>25</v>
      </c>
      <c r="B37" s="33" t="e">
        <f>G7+J7</f>
        <v>#REF!</v>
      </c>
      <c r="C37" s="39"/>
      <c r="D37" s="39"/>
      <c r="O37" s="39"/>
      <c r="P37" s="39"/>
      <c r="Q37" s="39"/>
      <c r="R37" s="39"/>
      <c r="S37" s="39"/>
      <c r="T37" s="39"/>
      <c r="U37" s="20"/>
      <c r="W37" s="93" t="s">
        <v>67</v>
      </c>
      <c r="X37" s="123">
        <f>SUM(AC5:AC34)</f>
        <v>23.075942982456141</v>
      </c>
      <c r="Y37" s="104" t="s">
        <v>102</v>
      </c>
      <c r="Z37" s="9"/>
      <c r="AA37" s="101"/>
      <c r="AB37" s="41"/>
      <c r="AC37" s="128"/>
      <c r="AD37" s="101"/>
      <c r="AE37" s="12"/>
      <c r="AF37" s="9"/>
      <c r="AG37" s="9"/>
      <c r="AH37" s="9"/>
      <c r="AI37" s="9"/>
      <c r="AJ37" s="9"/>
      <c r="AK37" s="12"/>
      <c r="AL37" s="9"/>
      <c r="AM37" s="9"/>
      <c r="AQ37" s="93" t="s">
        <v>67</v>
      </c>
      <c r="AR37" s="123">
        <f>SUM(AX5:AX34)</f>
        <v>23.075942982456141</v>
      </c>
      <c r="AS37" s="104" t="s">
        <v>102</v>
      </c>
      <c r="AT37" s="9"/>
      <c r="AU37" s="101"/>
      <c r="AV37" s="142"/>
      <c r="AW37" s="41"/>
      <c r="AX37" s="128"/>
      <c r="AY37" s="101"/>
      <c r="AZ37" s="12"/>
      <c r="BA37" s="9"/>
      <c r="BB37" s="9"/>
      <c r="BC37" s="9"/>
      <c r="BD37" s="9"/>
      <c r="BE37" s="9"/>
      <c r="BF37" s="12"/>
      <c r="BG37" s="9"/>
      <c r="BH37" s="9"/>
    </row>
    <row r="38" spans="1:60" ht="15" x14ac:dyDescent="0.2">
      <c r="A38" s="37" t="s">
        <v>34</v>
      </c>
      <c r="B38" s="33" t="e">
        <f>B6/(G7+J7)</f>
        <v>#REF!</v>
      </c>
      <c r="C38" s="39"/>
      <c r="D38" s="39"/>
      <c r="O38" s="39"/>
      <c r="P38" s="39"/>
      <c r="Q38" s="39"/>
      <c r="R38" s="39"/>
      <c r="S38" s="39"/>
      <c r="T38" s="39"/>
      <c r="U38" s="20"/>
      <c r="W38" s="93" t="s">
        <v>68</v>
      </c>
      <c r="X38" s="8">
        <f>X37+X40</f>
        <v>26.075942982456141</v>
      </c>
      <c r="Y38" s="104" t="s">
        <v>102</v>
      </c>
      <c r="Z38" s="9"/>
      <c r="AA38" s="9"/>
      <c r="AB38" s="9"/>
      <c r="AC38" s="129"/>
      <c r="AD38" s="9"/>
      <c r="AE38" s="12"/>
      <c r="AF38" s="9"/>
      <c r="AG38" s="9"/>
      <c r="AH38" s="9"/>
      <c r="AI38" s="9"/>
      <c r="AJ38" s="9"/>
      <c r="AK38" s="12"/>
      <c r="AL38" s="9"/>
      <c r="AM38" s="9"/>
      <c r="AQ38" s="93" t="s">
        <v>68</v>
      </c>
      <c r="AR38" s="8">
        <f>AR37+AR40</f>
        <v>26.075942982456141</v>
      </c>
      <c r="AS38" s="104" t="s">
        <v>102</v>
      </c>
      <c r="AT38" s="9"/>
      <c r="AU38" s="9"/>
      <c r="AV38" s="2"/>
      <c r="AW38" s="9"/>
      <c r="AX38" s="129"/>
      <c r="AY38" s="9"/>
      <c r="AZ38" s="12"/>
      <c r="BA38" s="9"/>
      <c r="BB38" s="9"/>
      <c r="BC38" s="9"/>
      <c r="BD38" s="9"/>
      <c r="BE38" s="9"/>
      <c r="BF38" s="12"/>
      <c r="BG38" s="9"/>
      <c r="BH38" s="9"/>
    </row>
    <row r="39" spans="1:60" ht="15" x14ac:dyDescent="0.2">
      <c r="A39" s="42" t="s">
        <v>32</v>
      </c>
      <c r="B39" s="33" t="e">
        <f>B36*F47</f>
        <v>#REF!</v>
      </c>
      <c r="C39" s="39"/>
      <c r="D39" s="39"/>
      <c r="E39" s="53" t="e">
        <f>#REF!/1000</f>
        <v>#REF!</v>
      </c>
      <c r="G39" s="71" t="e">
        <f>#REF!*E39</f>
        <v>#REF!</v>
      </c>
      <c r="O39" s="39"/>
      <c r="P39" s="39"/>
      <c r="Q39" s="39"/>
      <c r="R39" s="39"/>
      <c r="S39" s="39"/>
      <c r="T39" s="39"/>
      <c r="U39" s="20"/>
      <c r="W39" s="93" t="s">
        <v>69</v>
      </c>
      <c r="X39" s="8">
        <f>X38+X41</f>
        <v>28.075942982456141</v>
      </c>
      <c r="Y39" s="95" t="s">
        <v>102</v>
      </c>
      <c r="Z39" s="9"/>
      <c r="AA39" s="9"/>
      <c r="AB39" s="9"/>
      <c r="AC39" s="129"/>
      <c r="AD39" s="9"/>
      <c r="AE39" s="12"/>
      <c r="AF39" s="9"/>
      <c r="AG39" s="9"/>
      <c r="AH39" s="9"/>
      <c r="AI39" s="9"/>
      <c r="AJ39" s="9"/>
      <c r="AK39" s="12"/>
      <c r="AL39" s="9"/>
      <c r="AM39" s="9"/>
      <c r="AQ39" s="93" t="s">
        <v>69</v>
      </c>
      <c r="AR39" s="8">
        <f>AR38+AR41</f>
        <v>28.075942982456141</v>
      </c>
      <c r="AS39" s="95" t="s">
        <v>102</v>
      </c>
      <c r="AT39" s="9"/>
      <c r="AU39" s="9"/>
      <c r="AV39" s="2"/>
      <c r="AW39" s="9"/>
      <c r="AX39" s="129"/>
      <c r="AY39" s="9"/>
      <c r="AZ39" s="12"/>
      <c r="BA39" s="9"/>
      <c r="BB39" s="9"/>
      <c r="BC39" s="9"/>
      <c r="BD39" s="9"/>
      <c r="BE39" s="9"/>
      <c r="BF39" s="12"/>
      <c r="BG39" s="9"/>
      <c r="BH39" s="9"/>
    </row>
    <row r="40" spans="1:60" ht="15" x14ac:dyDescent="0.2">
      <c r="A40" s="37" t="s">
        <v>33</v>
      </c>
      <c r="B40" s="33" t="e">
        <f>B38*F47</f>
        <v>#REF!</v>
      </c>
      <c r="C40" s="39"/>
      <c r="D40" s="39"/>
      <c r="E40" s="53" t="e">
        <f>#REF!/100</f>
        <v>#REF!</v>
      </c>
      <c r="O40" s="39"/>
      <c r="P40" s="39"/>
      <c r="Q40" s="39"/>
      <c r="R40" s="39"/>
      <c r="S40" s="39"/>
      <c r="T40" s="39"/>
      <c r="U40" s="20"/>
      <c r="W40" s="93" t="s">
        <v>70</v>
      </c>
      <c r="X40" s="8">
        <f>SUM(AH5:AH34)</f>
        <v>3</v>
      </c>
      <c r="Y40" s="95" t="s">
        <v>103</v>
      </c>
      <c r="Z40" s="9"/>
      <c r="AA40" s="9"/>
      <c r="AB40" s="9"/>
      <c r="AC40" s="129"/>
      <c r="AD40" s="9"/>
      <c r="AE40" s="12"/>
      <c r="AF40" s="9"/>
      <c r="AG40" s="9"/>
      <c r="AH40" s="9"/>
      <c r="AI40" s="9"/>
      <c r="AJ40" s="9"/>
      <c r="AK40" s="12"/>
      <c r="AL40" s="9"/>
      <c r="AM40" s="9"/>
      <c r="AQ40" s="93" t="s">
        <v>70</v>
      </c>
      <c r="AR40" s="8">
        <f>SUM(BC5:BC34)</f>
        <v>3</v>
      </c>
      <c r="AS40" s="95" t="s">
        <v>103</v>
      </c>
      <c r="AT40" s="9"/>
      <c r="AU40" s="9"/>
      <c r="AV40" s="2"/>
      <c r="AW40" s="9"/>
      <c r="AX40" s="129"/>
      <c r="AY40" s="9"/>
      <c r="AZ40" s="12"/>
      <c r="BA40" s="9"/>
      <c r="BB40" s="9"/>
      <c r="BC40" s="9"/>
      <c r="BD40" s="9"/>
      <c r="BE40" s="9"/>
      <c r="BF40" s="12"/>
      <c r="BG40" s="9"/>
      <c r="BH40" s="9"/>
    </row>
    <row r="41" spans="1:60" ht="15" x14ac:dyDescent="0.2">
      <c r="A41" s="52"/>
      <c r="B41" s="40"/>
      <c r="C41" s="39"/>
      <c r="D41" s="39"/>
      <c r="E41" s="53"/>
      <c r="O41" s="39"/>
      <c r="P41" s="39"/>
      <c r="Q41" s="39"/>
      <c r="R41" s="39"/>
      <c r="S41" s="39"/>
      <c r="T41" s="39"/>
      <c r="U41" s="20"/>
      <c r="W41" s="93" t="s">
        <v>71</v>
      </c>
      <c r="X41" s="8">
        <f>SUM(AI5:AI34)</f>
        <v>2</v>
      </c>
      <c r="Y41" s="95" t="s">
        <v>103</v>
      </c>
      <c r="Z41" s="9"/>
      <c r="AA41" s="9"/>
      <c r="AB41" s="9"/>
      <c r="AC41" s="129"/>
      <c r="AD41" s="9"/>
      <c r="AE41" s="12"/>
      <c r="AF41" s="9"/>
      <c r="AG41" s="9"/>
      <c r="AH41" s="9"/>
      <c r="AI41" s="9"/>
      <c r="AJ41" s="9"/>
      <c r="AK41" s="12"/>
      <c r="AL41" s="9"/>
      <c r="AM41" s="9"/>
      <c r="AQ41" s="93" t="s">
        <v>71</v>
      </c>
      <c r="AR41" s="8">
        <f>SUM(BD5:BD34)</f>
        <v>2</v>
      </c>
      <c r="AS41" s="95" t="s">
        <v>103</v>
      </c>
      <c r="AT41" s="9"/>
      <c r="AU41" s="9"/>
      <c r="AV41" s="2"/>
      <c r="AW41" s="9"/>
      <c r="AX41" s="129"/>
      <c r="AY41" s="9"/>
      <c r="AZ41" s="12"/>
      <c r="BA41" s="9"/>
      <c r="BB41" s="9"/>
      <c r="BC41" s="9"/>
      <c r="BD41" s="9"/>
      <c r="BE41" s="9"/>
      <c r="BF41" s="12"/>
      <c r="BG41" s="9"/>
      <c r="BH41" s="9"/>
    </row>
    <row r="42" spans="1:60" ht="15" x14ac:dyDescent="0.2">
      <c r="A42" s="39"/>
      <c r="B42" s="40"/>
      <c r="C42" s="39"/>
      <c r="D42" s="39"/>
      <c r="O42" s="39"/>
      <c r="P42" s="39"/>
      <c r="Q42" s="39"/>
      <c r="R42" s="39"/>
      <c r="S42" s="39"/>
      <c r="T42" s="39"/>
      <c r="U42" s="20"/>
      <c r="Z42" s="9"/>
      <c r="AA42" s="9"/>
      <c r="AB42" s="9"/>
      <c r="AC42" s="129"/>
      <c r="AD42" s="9"/>
      <c r="AE42" s="12"/>
      <c r="AF42" s="9"/>
      <c r="AG42" s="9"/>
      <c r="AH42" s="9"/>
      <c r="AI42" s="9"/>
      <c r="AJ42" s="9"/>
      <c r="AK42" s="9"/>
      <c r="AL42" s="9"/>
      <c r="AM42" s="9"/>
      <c r="AT42" s="9"/>
      <c r="AU42" s="9"/>
      <c r="AV42" s="2"/>
      <c r="AW42" s="9"/>
      <c r="AX42" s="129"/>
      <c r="AY42" s="9"/>
      <c r="AZ42" s="12"/>
      <c r="BA42" s="9"/>
      <c r="BB42" s="9"/>
      <c r="BC42" s="9"/>
      <c r="BD42" s="9"/>
      <c r="BE42" s="9"/>
      <c r="BF42" s="9"/>
      <c r="BG42" s="9"/>
      <c r="BH42" s="9"/>
    </row>
    <row r="43" spans="1:60" x14ac:dyDescent="0.2">
      <c r="A43" s="9"/>
      <c r="B43" s="10"/>
      <c r="C43" s="9"/>
      <c r="D43" s="9"/>
      <c r="O43" s="9"/>
      <c r="P43" s="9"/>
      <c r="Q43" s="9"/>
      <c r="R43" s="9"/>
      <c r="S43" s="9"/>
      <c r="T43" s="9"/>
      <c r="U43" s="11"/>
      <c r="W43" s="9"/>
      <c r="X43" s="9"/>
      <c r="Y43" s="9"/>
      <c r="Z43" s="9"/>
      <c r="AA43" s="9"/>
      <c r="AB43" s="9"/>
      <c r="AC43" s="12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60" x14ac:dyDescent="0.2">
      <c r="A44" s="9"/>
      <c r="B44" s="10"/>
      <c r="C44" s="9"/>
      <c r="D44" s="9"/>
      <c r="E44" s="16">
        <v>250000</v>
      </c>
      <c r="F44" s="16">
        <v>1650</v>
      </c>
      <c r="G44" s="76">
        <f>E44/F44</f>
        <v>151.5151515151515</v>
      </c>
      <c r="I44" s="83"/>
      <c r="J44" s="41"/>
      <c r="K44" s="41"/>
      <c r="L44" s="41"/>
      <c r="M44" s="21"/>
      <c r="N44" s="83"/>
      <c r="O44" s="9"/>
      <c r="P44" s="9"/>
      <c r="Q44" s="9"/>
      <c r="R44" s="9"/>
      <c r="S44" s="9"/>
      <c r="T44" s="9"/>
      <c r="U44" s="11"/>
    </row>
    <row r="45" spans="1:60" x14ac:dyDescent="0.2">
      <c r="A45" s="9"/>
      <c r="B45" s="10"/>
      <c r="C45" s="9"/>
      <c r="D45" s="9"/>
      <c r="E45" s="16" t="s">
        <v>26</v>
      </c>
      <c r="F45" s="16">
        <f>303/F46</f>
        <v>92.354397044659294</v>
      </c>
      <c r="G45" s="76"/>
      <c r="I45" s="83"/>
      <c r="J45" s="39"/>
      <c r="K45" s="39"/>
      <c r="L45" s="39"/>
      <c r="M45" s="21"/>
      <c r="N45" s="83"/>
      <c r="O45" s="9"/>
      <c r="P45" s="9"/>
      <c r="Q45" s="9"/>
      <c r="R45" s="9"/>
      <c r="S45" s="9"/>
      <c r="T45" s="9"/>
      <c r="U45" s="11"/>
    </row>
    <row r="46" spans="1:60" x14ac:dyDescent="0.2">
      <c r="A46" s="9"/>
      <c r="B46" s="10"/>
      <c r="C46" s="9"/>
      <c r="D46" s="9"/>
      <c r="E46" s="16" t="s">
        <v>27</v>
      </c>
      <c r="F46" s="16">
        <v>3.28084</v>
      </c>
      <c r="G46" s="76"/>
      <c r="I46" s="83"/>
      <c r="J46" s="39"/>
      <c r="K46" s="39"/>
      <c r="L46" s="39"/>
      <c r="M46" s="21"/>
      <c r="N46" s="83"/>
      <c r="O46" s="9"/>
      <c r="P46" s="9"/>
      <c r="Q46" s="9"/>
      <c r="R46" s="9"/>
      <c r="S46" s="9"/>
      <c r="T46" s="9"/>
      <c r="U46" s="11"/>
    </row>
    <row r="47" spans="1:60" x14ac:dyDescent="0.2">
      <c r="A47" s="9"/>
      <c r="B47" s="10"/>
      <c r="C47" s="9"/>
      <c r="D47" s="9"/>
      <c r="E47" s="16" t="s">
        <v>28</v>
      </c>
      <c r="F47" s="16">
        <v>1.609</v>
      </c>
      <c r="G47" s="76"/>
      <c r="I47" s="83"/>
      <c r="J47" s="39"/>
      <c r="K47" s="39"/>
      <c r="L47" s="39"/>
      <c r="M47" s="21"/>
      <c r="N47" s="88"/>
      <c r="O47" s="9"/>
      <c r="P47" s="9"/>
      <c r="Q47" s="9"/>
      <c r="R47" s="9"/>
      <c r="S47" s="9"/>
      <c r="T47" s="9"/>
      <c r="U47" s="11"/>
    </row>
    <row r="48" spans="1:60" x14ac:dyDescent="0.2">
      <c r="A48" s="9"/>
      <c r="B48" s="10"/>
      <c r="C48" s="9"/>
      <c r="D48" s="9"/>
      <c r="E48" s="16"/>
      <c r="F48" s="16"/>
      <c r="G48" s="76"/>
      <c r="I48" s="83"/>
      <c r="J48" s="39"/>
      <c r="K48" s="39"/>
      <c r="L48" s="39"/>
      <c r="M48" s="21"/>
      <c r="N48" s="88"/>
      <c r="O48" s="9"/>
      <c r="P48" s="9"/>
      <c r="Q48" s="9"/>
      <c r="R48" s="9"/>
      <c r="S48" s="9"/>
      <c r="T48" s="9"/>
      <c r="U48" s="11"/>
    </row>
    <row r="49" spans="1:21" x14ac:dyDescent="0.2">
      <c r="A49" s="9"/>
      <c r="B49" s="10"/>
      <c r="C49" s="9"/>
      <c r="D49" s="9"/>
      <c r="E49"/>
      <c r="G49" s="77"/>
      <c r="I49" s="85"/>
      <c r="J49" s="9"/>
      <c r="K49" s="9"/>
      <c r="L49" s="9"/>
      <c r="M49" s="47"/>
      <c r="N49" s="89"/>
      <c r="O49" s="9"/>
      <c r="P49" s="9"/>
      <c r="Q49" s="9"/>
      <c r="R49" s="9"/>
      <c r="S49" s="9"/>
      <c r="T49" s="9"/>
      <c r="U49" s="11"/>
    </row>
    <row r="50" spans="1:21" x14ac:dyDescent="0.2">
      <c r="E50" s="10"/>
      <c r="F50" s="9"/>
      <c r="G50" s="75"/>
      <c r="H50" s="45"/>
      <c r="I50" s="86"/>
      <c r="J50" s="9"/>
      <c r="K50" s="9"/>
      <c r="L50" s="9"/>
      <c r="M50" s="47"/>
      <c r="N50" s="89"/>
    </row>
  </sheetData>
  <sheetProtection algorithmName="SHA-512" hashValue="sz8goB+PxWZALJFGHn9yUo2obvyW5gWii18BP/ldgz40MG3QhWn/XUD6xKw4lMDz3STL7iWBLnsMEr0XAN55rw==" saltValue="kXA7wetTA/6J4XY9e8g7QA==" spinCount="100000" sheet="1" objects="1" scenarios="1"/>
  <mergeCells count="1">
    <mergeCell ref="L3:M3"/>
  </mergeCells>
  <phoneticPr fontId="7" type="noConversion"/>
  <conditionalFormatting sqref="AC4:AD34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3:AG35">
    <cfRule type="cellIs" dxfId="1" priority="6" operator="equal">
      <formula>"D"</formula>
    </cfRule>
  </conditionalFormatting>
  <conditionalFormatting sqref="K4:K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4:L6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4:G6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H7:AI3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4:AH34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4:AI3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4:AY3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3:BB35">
    <cfRule type="cellIs" dxfId="0" priority="1" operator="equal">
      <formula>"D"</formula>
    </cfRule>
  </conditionalFormatting>
  <conditionalFormatting sqref="BC7:BD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C4:BC3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D4:BD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9685039370078741" right="0.19685039370078741" top="0.19685039370078741" bottom="0.19685039370078741" header="0.51181102362204722" footer="0.11811023622047245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Plan de marche</vt:lpstr>
      <vt:lpstr>'Plan de marche'!Zone_d_impression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</dc:creator>
  <cp:lastModifiedBy>Romnicianu</cp:lastModifiedBy>
  <cp:lastPrinted>2019-05-03T13:21:19Z</cp:lastPrinted>
  <dcterms:created xsi:type="dcterms:W3CDTF">2017-10-09T13:56:14Z</dcterms:created>
  <dcterms:modified xsi:type="dcterms:W3CDTF">2022-02-16T15:12:25Z</dcterms:modified>
</cp:coreProperties>
</file>